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proauditsrl.sharepoint.com/sites/Slide/Documenti condivisi/ODCEC Caserta 2025/1. Materialità/"/>
    </mc:Choice>
  </mc:AlternateContent>
  <xr:revisionPtr revIDLastSave="646" documentId="11_610192770C638A7E7B0DF3C5035F9A0D31F895E5" xr6:coauthVersionLast="47" xr6:coauthVersionMax="47" xr10:uidLastSave="{DF1F6B15-4BD8-4D70-8E82-91EAB8FDB515}"/>
  <bookViews>
    <workbookView xWindow="-108" yWindow="-108" windowWidth="23256" windowHeight="12456" tabRatio="833" activeTab="5" xr2:uid="{00000000-000D-0000-FFFF-FFFF00000000}"/>
  </bookViews>
  <sheets>
    <sheet name="Attività aziendale" sheetId="9" r:id="rId1"/>
    <sheet name="Stato patrimoniale" sheetId="6" r:id="rId2"/>
    <sheet name="Conto economico" sheetId="7" r:id="rId3"/>
    <sheet name="Leadsheet 31.12" sheetId="8" r:id="rId4"/>
    <sheet name="Materialità_vuoto" sheetId="5" r:id="rId5"/>
    <sheet name="Materialità_compilato" sheetId="4" r:id="rId6"/>
  </sheets>
  <definedNames>
    <definedName name="_xlnm._FilterDatabase" localSheetId="2" hidden="1">'Conto economico'!$B$3:$Z$51</definedName>
    <definedName name="_xlnm._FilterDatabase" localSheetId="3" hidden="1">'Leadsheet 31.12'!$B$8:$H$464</definedName>
    <definedName name="_xlnm._FilterDatabase" localSheetId="1" hidden="1">'Stato patrimoniale'!$B$3:$W$89</definedName>
    <definedName name="a" localSheetId="3" hidden="1">'Leadsheet 31.12'!$B$8:$H$465</definedName>
    <definedName name="aaa" localSheetId="3" hidden="1">'Leadsheet 31.12'!$B$8:$H$465</definedName>
    <definedName name="ff" localSheetId="3" hidden="1">'Leadsheet 31.12'!$B$8:$H$465</definedName>
    <definedName name="qqqqqqqqq" localSheetId="3" hidden="1">'Leadsheet 31.12'!$A$8:$H$465</definedName>
    <definedName name="S" localSheetId="3" hidden="1">'Leadsheet 31.12'!$B$8:$H$465</definedName>
    <definedName name="sdasda" localSheetId="3" hidden="1">'Leadsheet 31.12'!$B$8:$H$465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4" i="8" l="1"/>
  <c r="F463" i="8"/>
  <c r="F462" i="8"/>
  <c r="F461" i="8"/>
  <c r="F460" i="8"/>
  <c r="F459" i="8"/>
  <c r="F458" i="8"/>
  <c r="F457" i="8"/>
  <c r="F456" i="8"/>
  <c r="F455" i="8"/>
  <c r="F454" i="8"/>
  <c r="F453" i="8"/>
  <c r="F452" i="8"/>
  <c r="F451" i="8"/>
  <c r="F450" i="8"/>
  <c r="F449" i="8"/>
  <c r="F448" i="8"/>
  <c r="F447" i="8"/>
  <c r="F446" i="8"/>
  <c r="F445" i="8"/>
  <c r="F444" i="8"/>
  <c r="F443" i="8"/>
  <c r="F442" i="8"/>
  <c r="F441" i="8"/>
  <c r="F440" i="8"/>
  <c r="F439" i="8"/>
  <c r="F438" i="8"/>
  <c r="F437" i="8"/>
  <c r="F436" i="8"/>
  <c r="F435" i="8"/>
  <c r="F434" i="8"/>
  <c r="F433" i="8"/>
  <c r="F432" i="8"/>
  <c r="F431" i="8"/>
  <c r="F430" i="8"/>
  <c r="F429" i="8"/>
  <c r="F428" i="8"/>
  <c r="F427" i="8"/>
  <c r="J426" i="8"/>
  <c r="F426" i="8"/>
  <c r="F425" i="8"/>
  <c r="F424" i="8"/>
  <c r="F423" i="8"/>
  <c r="F422" i="8"/>
  <c r="F421" i="8"/>
  <c r="F420" i="8"/>
  <c r="F419" i="8"/>
  <c r="F418" i="8"/>
  <c r="F417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5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E6" i="8"/>
  <c r="I69" i="6" s="1"/>
  <c r="O69" i="6" s="1"/>
  <c r="D6" i="8"/>
  <c r="C69" i="6" s="1"/>
  <c r="E5" i="8"/>
  <c r="D5" i="8"/>
  <c r="L48" i="7"/>
  <c r="G47" i="7"/>
  <c r="L47" i="7" s="1"/>
  <c r="C47" i="7"/>
  <c r="G46" i="7"/>
  <c r="L46" i="7" s="1"/>
  <c r="C46" i="7"/>
  <c r="L43" i="7"/>
  <c r="L42" i="7"/>
  <c r="G41" i="7"/>
  <c r="L41" i="7" s="1"/>
  <c r="C41" i="7"/>
  <c r="F41" i="7" s="1"/>
  <c r="G40" i="7"/>
  <c r="C40" i="7"/>
  <c r="N39" i="7"/>
  <c r="L38" i="7"/>
  <c r="G37" i="7"/>
  <c r="C37" i="7"/>
  <c r="H37" i="7" s="1"/>
  <c r="I37" i="7" s="1"/>
  <c r="G36" i="7"/>
  <c r="H36" i="7" s="1"/>
  <c r="I36" i="7" s="1"/>
  <c r="C36" i="7"/>
  <c r="F36" i="7" s="1"/>
  <c r="G35" i="7"/>
  <c r="L35" i="7" s="1"/>
  <c r="C35" i="7"/>
  <c r="H35" i="7" s="1"/>
  <c r="I35" i="7" s="1"/>
  <c r="G34" i="7"/>
  <c r="L34" i="7" s="1"/>
  <c r="C34" i="7"/>
  <c r="F34" i="7" s="1"/>
  <c r="N33" i="7"/>
  <c r="L32" i="7"/>
  <c r="N31" i="7"/>
  <c r="N44" i="7" s="1"/>
  <c r="N49" i="7" s="1"/>
  <c r="G29" i="7"/>
  <c r="L29" i="7" s="1"/>
  <c r="C29" i="7"/>
  <c r="G28" i="7"/>
  <c r="L28" i="7" s="1"/>
  <c r="C28" i="7"/>
  <c r="G27" i="7"/>
  <c r="L27" i="7" s="1"/>
  <c r="C27" i="7"/>
  <c r="G26" i="7"/>
  <c r="L26" i="7" s="1"/>
  <c r="C26" i="7"/>
  <c r="G25" i="7"/>
  <c r="H25" i="7" s="1"/>
  <c r="I25" i="7" s="1"/>
  <c r="C25" i="7"/>
  <c r="F25" i="7" s="1"/>
  <c r="G24" i="7"/>
  <c r="L24" i="7" s="1"/>
  <c r="C24" i="7"/>
  <c r="G23" i="7"/>
  <c r="L23" i="7" s="1"/>
  <c r="C23" i="7"/>
  <c r="G21" i="7"/>
  <c r="L21" i="7" s="1"/>
  <c r="C21" i="7"/>
  <c r="G20" i="7"/>
  <c r="L20" i="7" s="1"/>
  <c r="C20" i="7"/>
  <c r="H20" i="7" s="1"/>
  <c r="I20" i="7" s="1"/>
  <c r="G19" i="7"/>
  <c r="L19" i="7" s="1"/>
  <c r="C19" i="7"/>
  <c r="G18" i="7"/>
  <c r="L18" i="7" s="1"/>
  <c r="C18" i="7"/>
  <c r="G17" i="7"/>
  <c r="C17" i="7"/>
  <c r="F17" i="7" s="1"/>
  <c r="G15" i="7"/>
  <c r="L15" i="7" s="1"/>
  <c r="C15" i="7"/>
  <c r="G14" i="7"/>
  <c r="L14" i="7" s="1"/>
  <c r="C14" i="7"/>
  <c r="F14" i="7" s="1"/>
  <c r="N13" i="7"/>
  <c r="N12" i="7" s="1"/>
  <c r="G13" i="7"/>
  <c r="L13" i="7" s="1"/>
  <c r="C13" i="7"/>
  <c r="H13" i="7" s="1"/>
  <c r="I13" i="7" s="1"/>
  <c r="G10" i="7"/>
  <c r="C10" i="7"/>
  <c r="F10" i="7" s="1"/>
  <c r="C9" i="7"/>
  <c r="G8" i="7"/>
  <c r="L8" i="7" s="1"/>
  <c r="C8" i="7"/>
  <c r="F8" i="7" s="1"/>
  <c r="G7" i="7"/>
  <c r="L7" i="7" s="1"/>
  <c r="C7" i="7"/>
  <c r="F7" i="7" s="1"/>
  <c r="G6" i="7"/>
  <c r="C6" i="7"/>
  <c r="F6" i="7" s="1"/>
  <c r="N5" i="7"/>
  <c r="G5" i="7"/>
  <c r="C5" i="7"/>
  <c r="N4" i="7"/>
  <c r="M91" i="6"/>
  <c r="E91" i="6"/>
  <c r="I89" i="6"/>
  <c r="O89" i="6" s="1"/>
  <c r="C89" i="6"/>
  <c r="I87" i="6"/>
  <c r="O87" i="6" s="1"/>
  <c r="C87" i="6"/>
  <c r="H87" i="6" s="1"/>
  <c r="I86" i="6"/>
  <c r="O86" i="6" s="1"/>
  <c r="C86" i="6"/>
  <c r="F86" i="6" s="1"/>
  <c r="I85" i="6"/>
  <c r="C85" i="6"/>
  <c r="F85" i="6" s="1"/>
  <c r="I84" i="6"/>
  <c r="O84" i="6" s="1"/>
  <c r="C84" i="6"/>
  <c r="H84" i="6" s="1"/>
  <c r="I83" i="6"/>
  <c r="C83" i="6"/>
  <c r="H83" i="6" s="1"/>
  <c r="I82" i="6"/>
  <c r="O82" i="6" s="1"/>
  <c r="C82" i="6"/>
  <c r="H82" i="6" s="1"/>
  <c r="J82" i="6" s="1"/>
  <c r="K82" i="6" s="1"/>
  <c r="I81" i="6"/>
  <c r="O81" i="6" s="1"/>
  <c r="C81" i="6"/>
  <c r="H81" i="6" s="1"/>
  <c r="I78" i="6"/>
  <c r="O78" i="6" s="1"/>
  <c r="C78" i="6"/>
  <c r="H78" i="6" s="1"/>
  <c r="I76" i="6"/>
  <c r="O76" i="6" s="1"/>
  <c r="C76" i="6"/>
  <c r="H76" i="6" s="1"/>
  <c r="J76" i="6" s="1"/>
  <c r="K76" i="6" s="1"/>
  <c r="I75" i="6"/>
  <c r="O75" i="6" s="1"/>
  <c r="H75" i="6"/>
  <c r="C75" i="6"/>
  <c r="F75" i="6" s="1"/>
  <c r="I74" i="6"/>
  <c r="O74" i="6" s="1"/>
  <c r="C74" i="6"/>
  <c r="I73" i="6"/>
  <c r="O73" i="6" s="1"/>
  <c r="C73" i="6"/>
  <c r="H73" i="6" s="1"/>
  <c r="J73" i="6" s="1"/>
  <c r="K73" i="6" s="1"/>
  <c r="I70" i="6"/>
  <c r="O70" i="6" s="1"/>
  <c r="C70" i="6"/>
  <c r="F70" i="6" s="1"/>
  <c r="I68" i="6"/>
  <c r="O68" i="6" s="1"/>
  <c r="C68" i="6"/>
  <c r="H68" i="6" s="1"/>
  <c r="I67" i="6"/>
  <c r="O67" i="6" s="1"/>
  <c r="C67" i="6"/>
  <c r="H67" i="6" s="1"/>
  <c r="I66" i="6"/>
  <c r="O66" i="6" s="1"/>
  <c r="C66" i="6"/>
  <c r="H66" i="6" s="1"/>
  <c r="I65" i="6"/>
  <c r="O65" i="6" s="1"/>
  <c r="C65" i="6"/>
  <c r="H65" i="6" s="1"/>
  <c r="I64" i="6"/>
  <c r="O64" i="6" s="1"/>
  <c r="C64" i="6"/>
  <c r="F64" i="6" s="1"/>
  <c r="I63" i="6"/>
  <c r="O63" i="6" s="1"/>
  <c r="C63" i="6"/>
  <c r="H63" i="6" s="1"/>
  <c r="I62" i="6"/>
  <c r="O62" i="6" s="1"/>
  <c r="C62" i="6"/>
  <c r="H62" i="6" s="1"/>
  <c r="J62" i="6" s="1"/>
  <c r="K62" i="6" s="1"/>
  <c r="O61" i="6"/>
  <c r="I61" i="6"/>
  <c r="C61" i="6"/>
  <c r="P58" i="6"/>
  <c r="M58" i="6"/>
  <c r="I55" i="6"/>
  <c r="O55" i="6" s="1"/>
  <c r="C55" i="6"/>
  <c r="H55" i="6" s="1"/>
  <c r="I53" i="6"/>
  <c r="O53" i="6" s="1"/>
  <c r="C53" i="6"/>
  <c r="H53" i="6" s="1"/>
  <c r="I52" i="6"/>
  <c r="O52" i="6" s="1"/>
  <c r="C52" i="6"/>
  <c r="H52" i="6" s="1"/>
  <c r="I51" i="6"/>
  <c r="C51" i="6"/>
  <c r="H51" i="6" s="1"/>
  <c r="J51" i="6" s="1"/>
  <c r="K51" i="6" s="1"/>
  <c r="I48" i="6"/>
  <c r="C48" i="6"/>
  <c r="H48" i="6" s="1"/>
  <c r="P47" i="6"/>
  <c r="I45" i="6"/>
  <c r="O45" i="6" s="1"/>
  <c r="C45" i="6"/>
  <c r="H45" i="6" s="1"/>
  <c r="I44" i="6"/>
  <c r="O44" i="6" s="1"/>
  <c r="C44" i="6"/>
  <c r="H44" i="6" s="1"/>
  <c r="I43" i="6"/>
  <c r="O43" i="6" s="1"/>
  <c r="C43" i="6"/>
  <c r="F43" i="6" s="1"/>
  <c r="I42" i="6"/>
  <c r="O42" i="6" s="1"/>
  <c r="C42" i="6"/>
  <c r="H42" i="6" s="1"/>
  <c r="I41" i="6"/>
  <c r="O41" i="6" s="1"/>
  <c r="C41" i="6"/>
  <c r="H41" i="6" s="1"/>
  <c r="I40" i="6"/>
  <c r="O40" i="6" s="1"/>
  <c r="C40" i="6"/>
  <c r="I39" i="6"/>
  <c r="O39" i="6" s="1"/>
  <c r="C39" i="6"/>
  <c r="H39" i="6" s="1"/>
  <c r="I38" i="6"/>
  <c r="O38" i="6" s="1"/>
  <c r="C38" i="6"/>
  <c r="H38" i="6" s="1"/>
  <c r="J38" i="6" s="1"/>
  <c r="K38" i="6" s="1"/>
  <c r="I37" i="6"/>
  <c r="O37" i="6" s="1"/>
  <c r="C37" i="6"/>
  <c r="F37" i="6" s="1"/>
  <c r="I34" i="6"/>
  <c r="O34" i="6" s="1"/>
  <c r="C34" i="6"/>
  <c r="H34" i="6" s="1"/>
  <c r="I33" i="6"/>
  <c r="O33" i="6" s="1"/>
  <c r="C33" i="6"/>
  <c r="H33" i="6" s="1"/>
  <c r="I32" i="6"/>
  <c r="O32" i="6" s="1"/>
  <c r="C32" i="6"/>
  <c r="H32" i="6" s="1"/>
  <c r="J32" i="6" s="1"/>
  <c r="K32" i="6" s="1"/>
  <c r="I31" i="6"/>
  <c r="C31" i="6"/>
  <c r="H31" i="6" s="1"/>
  <c r="I30" i="6"/>
  <c r="O30" i="6" s="1"/>
  <c r="C30" i="6"/>
  <c r="F30" i="6" s="1"/>
  <c r="I27" i="6"/>
  <c r="O27" i="6" s="1"/>
  <c r="C27" i="6"/>
  <c r="F27" i="6" s="1"/>
  <c r="I26" i="6"/>
  <c r="O26" i="6" s="1"/>
  <c r="C26" i="6"/>
  <c r="I25" i="6"/>
  <c r="O25" i="6" s="1"/>
  <c r="C25" i="6"/>
  <c r="I24" i="6"/>
  <c r="O24" i="6" s="1"/>
  <c r="C24" i="6"/>
  <c r="F24" i="6" s="1"/>
  <c r="I23" i="6"/>
  <c r="C23" i="6"/>
  <c r="H23" i="6" s="1"/>
  <c r="J23" i="6" s="1"/>
  <c r="K23" i="6" s="1"/>
  <c r="I20" i="6"/>
  <c r="O20" i="6" s="1"/>
  <c r="C20" i="6"/>
  <c r="H20" i="6" s="1"/>
  <c r="J20" i="6" s="1"/>
  <c r="K20" i="6" s="1"/>
  <c r="I19" i="6"/>
  <c r="O19" i="6" s="1"/>
  <c r="C19" i="6"/>
  <c r="H19" i="6" s="1"/>
  <c r="I18" i="6"/>
  <c r="O18" i="6" s="1"/>
  <c r="C18" i="6"/>
  <c r="I17" i="6"/>
  <c r="O17" i="6" s="1"/>
  <c r="C17" i="6"/>
  <c r="H17" i="6" s="1"/>
  <c r="I16" i="6"/>
  <c r="O16" i="6" s="1"/>
  <c r="C16" i="6"/>
  <c r="I13" i="6"/>
  <c r="O13" i="6" s="1"/>
  <c r="C13" i="6"/>
  <c r="H13" i="6" s="1"/>
  <c r="I12" i="6"/>
  <c r="O12" i="6" s="1"/>
  <c r="C12" i="6"/>
  <c r="H12" i="6" s="1"/>
  <c r="J12" i="6" s="1"/>
  <c r="K12" i="6" s="1"/>
  <c r="I11" i="6"/>
  <c r="O11" i="6" s="1"/>
  <c r="C11" i="6"/>
  <c r="I10" i="6"/>
  <c r="O10" i="6" s="1"/>
  <c r="C10" i="6"/>
  <c r="H10" i="6" s="1"/>
  <c r="I9" i="6"/>
  <c r="O9" i="6" s="1"/>
  <c r="C9" i="6"/>
  <c r="H9" i="6" s="1"/>
  <c r="I8" i="6"/>
  <c r="C8" i="6"/>
  <c r="H8" i="6" s="1"/>
  <c r="I5" i="6"/>
  <c r="O5" i="6" s="1"/>
  <c r="C5" i="6"/>
  <c r="H5" i="6" s="1"/>
  <c r="J5" i="6" s="1"/>
  <c r="K5" i="6" s="1"/>
  <c r="P4" i="6"/>
  <c r="M4" i="6"/>
  <c r="H85" i="6" l="1"/>
  <c r="F23" i="6"/>
  <c r="I22" i="6"/>
  <c r="O22" i="6" s="1"/>
  <c r="J39" i="6"/>
  <c r="K39" i="6" s="1"/>
  <c r="F44" i="6"/>
  <c r="H86" i="6"/>
  <c r="J86" i="6" s="1"/>
  <c r="K86" i="6" s="1"/>
  <c r="G45" i="7"/>
  <c r="L45" i="7" s="1"/>
  <c r="C72" i="6"/>
  <c r="J48" i="6"/>
  <c r="K48" i="6" s="1"/>
  <c r="H24" i="6"/>
  <c r="J24" i="6" s="1"/>
  <c r="K24" i="6" s="1"/>
  <c r="J19" i="6"/>
  <c r="K19" i="6" s="1"/>
  <c r="J34" i="6"/>
  <c r="K34" i="6" s="1"/>
  <c r="J42" i="6"/>
  <c r="K42" i="6" s="1"/>
  <c r="J75" i="6"/>
  <c r="K75" i="6" s="1"/>
  <c r="J84" i="6"/>
  <c r="K84" i="6" s="1"/>
  <c r="F12" i="6"/>
  <c r="J33" i="6"/>
  <c r="K33" i="6" s="1"/>
  <c r="J53" i="6"/>
  <c r="K53" i="6" s="1"/>
  <c r="J63" i="6"/>
  <c r="K63" i="6" s="1"/>
  <c r="J78" i="6"/>
  <c r="K78" i="6" s="1"/>
  <c r="J8" i="6"/>
  <c r="K8" i="6" s="1"/>
  <c r="J13" i="6"/>
  <c r="K13" i="6" s="1"/>
  <c r="J55" i="6"/>
  <c r="K55" i="6" s="1"/>
  <c r="C47" i="6"/>
  <c r="H47" i="6" s="1"/>
  <c r="J9" i="6"/>
  <c r="K9" i="6" s="1"/>
  <c r="J65" i="6"/>
  <c r="K65" i="6" s="1"/>
  <c r="J10" i="6"/>
  <c r="K10" i="6" s="1"/>
  <c r="O23" i="6"/>
  <c r="F82" i="6"/>
  <c r="H6" i="7"/>
  <c r="I6" i="7" s="1"/>
  <c r="J67" i="6"/>
  <c r="K67" i="6" s="1"/>
  <c r="H15" i="7"/>
  <c r="I15" i="7" s="1"/>
  <c r="H28" i="7"/>
  <c r="I28" i="7" s="1"/>
  <c r="H72" i="6"/>
  <c r="F72" i="6"/>
  <c r="H69" i="6"/>
  <c r="J69" i="6" s="1"/>
  <c r="K69" i="6" s="1"/>
  <c r="F69" i="6"/>
  <c r="H30" i="6"/>
  <c r="J30" i="6" s="1"/>
  <c r="K30" i="6" s="1"/>
  <c r="L36" i="7"/>
  <c r="C22" i="6"/>
  <c r="H43" i="6"/>
  <c r="J43" i="6" s="1"/>
  <c r="K43" i="6" s="1"/>
  <c r="F63" i="6"/>
  <c r="H70" i="6"/>
  <c r="J70" i="6" s="1"/>
  <c r="K70" i="6" s="1"/>
  <c r="F84" i="6"/>
  <c r="L25" i="7"/>
  <c r="F5" i="6"/>
  <c r="J17" i="6"/>
  <c r="K17" i="6" s="1"/>
  <c r="H37" i="6"/>
  <c r="J37" i="6" s="1"/>
  <c r="K37" i="6" s="1"/>
  <c r="F48" i="6"/>
  <c r="J81" i="6"/>
  <c r="K81" i="6" s="1"/>
  <c r="F5" i="8"/>
  <c r="I29" i="6"/>
  <c r="O29" i="6" s="1"/>
  <c r="J41" i="6"/>
  <c r="K41" i="6" s="1"/>
  <c r="J44" i="6"/>
  <c r="K44" i="6" s="1"/>
  <c r="J68" i="6"/>
  <c r="K68" i="6" s="1"/>
  <c r="F81" i="6"/>
  <c r="F87" i="6"/>
  <c r="G22" i="7"/>
  <c r="L22" i="7" s="1"/>
  <c r="C22" i="7"/>
  <c r="H22" i="7" s="1"/>
  <c r="I22" i="7" s="1"/>
  <c r="H27" i="7"/>
  <c r="I27" i="7" s="1"/>
  <c r="H34" i="7"/>
  <c r="I34" i="7" s="1"/>
  <c r="H64" i="6"/>
  <c r="C4" i="7"/>
  <c r="F4" i="7" s="1"/>
  <c r="F42" i="6"/>
  <c r="L6" i="7"/>
  <c r="F13" i="7"/>
  <c r="H24" i="7"/>
  <c r="I24" i="7" s="1"/>
  <c r="I50" i="6"/>
  <c r="O50" i="6" s="1"/>
  <c r="F78" i="6"/>
  <c r="F9" i="6"/>
  <c r="F19" i="6"/>
  <c r="H27" i="6"/>
  <c r="J27" i="6" s="1"/>
  <c r="K27" i="6" s="1"/>
  <c r="F39" i="6"/>
  <c r="J45" i="6"/>
  <c r="K45" i="6" s="1"/>
  <c r="J52" i="6"/>
  <c r="K52" i="6" s="1"/>
  <c r="F73" i="6"/>
  <c r="F76" i="6"/>
  <c r="H19" i="7"/>
  <c r="I19" i="7" s="1"/>
  <c r="J66" i="6"/>
  <c r="K66" i="6" s="1"/>
  <c r="H41" i="7"/>
  <c r="I41" i="7" s="1"/>
  <c r="H22" i="6"/>
  <c r="J22" i="6" s="1"/>
  <c r="K22" i="6" s="1"/>
  <c r="F22" i="6"/>
  <c r="H18" i="7"/>
  <c r="I18" i="7" s="1"/>
  <c r="C16" i="7"/>
  <c r="C12" i="7" s="1"/>
  <c r="C31" i="7" s="1"/>
  <c r="F18" i="7"/>
  <c r="F17" i="6"/>
  <c r="G4" i="7"/>
  <c r="L5" i="7"/>
  <c r="F15" i="7"/>
  <c r="F23" i="7"/>
  <c r="O31" i="6"/>
  <c r="C39" i="7"/>
  <c r="H40" i="7"/>
  <c r="I40" i="7" s="1"/>
  <c r="F32" i="6"/>
  <c r="F45" i="6"/>
  <c r="F9" i="7"/>
  <c r="L40" i="7"/>
  <c r="G39" i="7"/>
  <c r="L39" i="7" s="1"/>
  <c r="H46" i="7"/>
  <c r="F46" i="7"/>
  <c r="C45" i="7"/>
  <c r="F45" i="7" s="1"/>
  <c r="I15" i="6"/>
  <c r="O15" i="6" s="1"/>
  <c r="C29" i="6"/>
  <c r="I36" i="6"/>
  <c r="O36" i="6" s="1"/>
  <c r="F41" i="6"/>
  <c r="H61" i="6"/>
  <c r="J61" i="6" s="1"/>
  <c r="K61" i="6" s="1"/>
  <c r="F61" i="6"/>
  <c r="C60" i="6"/>
  <c r="H74" i="6"/>
  <c r="J74" i="6" s="1"/>
  <c r="K74" i="6" s="1"/>
  <c r="F74" i="6"/>
  <c r="J83" i="6"/>
  <c r="K83" i="6" s="1"/>
  <c r="O83" i="6"/>
  <c r="F20" i="7"/>
  <c r="F25" i="6"/>
  <c r="J31" i="6"/>
  <c r="K31" i="6" s="1"/>
  <c r="F67" i="6"/>
  <c r="F5" i="7"/>
  <c r="H7" i="7"/>
  <c r="I7" i="7" s="1"/>
  <c r="H25" i="6"/>
  <c r="J25" i="6" s="1"/>
  <c r="K25" i="6" s="1"/>
  <c r="F65" i="6"/>
  <c r="H26" i="7"/>
  <c r="I26" i="7" s="1"/>
  <c r="F26" i="7"/>
  <c r="F35" i="7"/>
  <c r="I80" i="6"/>
  <c r="O80" i="6" s="1"/>
  <c r="H5" i="7"/>
  <c r="I5" i="7" s="1"/>
  <c r="O51" i="6"/>
  <c r="J85" i="6"/>
  <c r="K85" i="6" s="1"/>
  <c r="O85" i="6"/>
  <c r="H23" i="7"/>
  <c r="I23" i="7" s="1"/>
  <c r="F26" i="6"/>
  <c r="H26" i="6"/>
  <c r="J26" i="6" s="1"/>
  <c r="K26" i="6" s="1"/>
  <c r="C33" i="7"/>
  <c r="F40" i="7"/>
  <c r="H18" i="6"/>
  <c r="J18" i="6" s="1"/>
  <c r="K18" i="6" s="1"/>
  <c r="F18" i="6"/>
  <c r="G16" i="7"/>
  <c r="L16" i="7" s="1"/>
  <c r="H17" i="7"/>
  <c r="I17" i="7" s="1"/>
  <c r="H21" i="7"/>
  <c r="I21" i="7" s="1"/>
  <c r="F21" i="7"/>
  <c r="F28" i="7"/>
  <c r="P91" i="6"/>
  <c r="F10" i="6"/>
  <c r="C50" i="6"/>
  <c r="F53" i="6"/>
  <c r="J87" i="6"/>
  <c r="K87" i="6" s="1"/>
  <c r="F37" i="7"/>
  <c r="H47" i="7"/>
  <c r="I47" i="7" s="1"/>
  <c r="F47" i="7"/>
  <c r="L10" i="7"/>
  <c r="H10" i="7"/>
  <c r="I10" i="7" s="1"/>
  <c r="H11" i="6"/>
  <c r="J11" i="6" s="1"/>
  <c r="K11" i="6" s="1"/>
  <c r="F11" i="6"/>
  <c r="I60" i="6"/>
  <c r="I47" i="6"/>
  <c r="O47" i="6" s="1"/>
  <c r="O48" i="6"/>
  <c r="C7" i="6"/>
  <c r="F8" i="6"/>
  <c r="O8" i="6"/>
  <c r="I7" i="6"/>
  <c r="F51" i="6"/>
  <c r="J64" i="6"/>
  <c r="K64" i="6" s="1"/>
  <c r="L17" i="7"/>
  <c r="H29" i="7"/>
  <c r="I29" i="7" s="1"/>
  <c r="F29" i="7"/>
  <c r="L37" i="7"/>
  <c r="G33" i="7"/>
  <c r="L33" i="7" s="1"/>
  <c r="C15" i="6"/>
  <c r="C36" i="6"/>
  <c r="I72" i="6"/>
  <c r="O72" i="6" s="1"/>
  <c r="F62" i="6"/>
  <c r="F66" i="6"/>
  <c r="F40" i="6"/>
  <c r="H40" i="6"/>
  <c r="J40" i="6" s="1"/>
  <c r="K40" i="6" s="1"/>
  <c r="H8" i="7"/>
  <c r="I8" i="7" s="1"/>
  <c r="F19" i="7"/>
  <c r="F24" i="7"/>
  <c r="F27" i="7"/>
  <c r="F13" i="6"/>
  <c r="F16" i="6"/>
  <c r="F31" i="6"/>
  <c r="F33" i="6"/>
  <c r="F38" i="6"/>
  <c r="F52" i="6"/>
  <c r="H16" i="6"/>
  <c r="J16" i="6" s="1"/>
  <c r="K16" i="6" s="1"/>
  <c r="C80" i="6"/>
  <c r="H89" i="6"/>
  <c r="J89" i="6" s="1"/>
  <c r="K89" i="6" s="1"/>
  <c r="F89" i="6"/>
  <c r="H14" i="7"/>
  <c r="I14" i="7" s="1"/>
  <c r="F20" i="6"/>
  <c r="F34" i="6"/>
  <c r="F55" i="6"/>
  <c r="F68" i="6"/>
  <c r="F83" i="6"/>
  <c r="F47" i="6" l="1"/>
  <c r="F22" i="7"/>
  <c r="H45" i="7"/>
  <c r="I45" i="7" s="1"/>
  <c r="I46" i="7"/>
  <c r="I58" i="6"/>
  <c r="O58" i="6" s="1"/>
  <c r="O60" i="6"/>
  <c r="F50" i="6"/>
  <c r="H50" i="6"/>
  <c r="J50" i="6" s="1"/>
  <c r="K50" i="6" s="1"/>
  <c r="H60" i="6"/>
  <c r="J60" i="6" s="1"/>
  <c r="K60" i="6" s="1"/>
  <c r="F60" i="6"/>
  <c r="C58" i="6"/>
  <c r="F12" i="7"/>
  <c r="H16" i="7"/>
  <c r="I16" i="7" s="1"/>
  <c r="F16" i="7"/>
  <c r="L4" i="7"/>
  <c r="H33" i="7"/>
  <c r="I33" i="7" s="1"/>
  <c r="F33" i="7"/>
  <c r="H80" i="6"/>
  <c r="J80" i="6" s="1"/>
  <c r="K80" i="6" s="1"/>
  <c r="F80" i="6"/>
  <c r="I4" i="6"/>
  <c r="O7" i="6"/>
  <c r="F39" i="7"/>
  <c r="H39" i="7"/>
  <c r="I39" i="7" s="1"/>
  <c r="H4" i="7"/>
  <c r="I4" i="7" s="1"/>
  <c r="J72" i="6"/>
  <c r="K72" i="6" s="1"/>
  <c r="F29" i="6"/>
  <c r="H29" i="6"/>
  <c r="J29" i="6" s="1"/>
  <c r="K29" i="6" s="1"/>
  <c r="C44" i="7"/>
  <c r="F31" i="7"/>
  <c r="H36" i="6"/>
  <c r="J36" i="6" s="1"/>
  <c r="K36" i="6" s="1"/>
  <c r="F36" i="6"/>
  <c r="J47" i="6"/>
  <c r="K47" i="6" s="1"/>
  <c r="F15" i="6"/>
  <c r="H15" i="6"/>
  <c r="J15" i="6" s="1"/>
  <c r="K15" i="6" s="1"/>
  <c r="H7" i="6"/>
  <c r="J7" i="6" s="1"/>
  <c r="K7" i="6" s="1"/>
  <c r="F7" i="6"/>
  <c r="C4" i="6"/>
  <c r="G12" i="7"/>
  <c r="L12" i="7" s="1"/>
  <c r="G31" i="7" l="1"/>
  <c r="H12" i="7"/>
  <c r="I12" i="7" s="1"/>
  <c r="O4" i="6"/>
  <c r="I91" i="6"/>
  <c r="F4" i="6"/>
  <c r="H4" i="6"/>
  <c r="J4" i="6" s="1"/>
  <c r="K4" i="6" s="1"/>
  <c r="C91" i="6"/>
  <c r="H58" i="6"/>
  <c r="J58" i="6" s="1"/>
  <c r="K58" i="6" s="1"/>
  <c r="F58" i="6"/>
  <c r="C49" i="7"/>
  <c r="F44" i="7"/>
  <c r="F91" i="6" l="1"/>
  <c r="F49" i="7"/>
  <c r="C51" i="7"/>
  <c r="L31" i="7"/>
  <c r="G44" i="7"/>
  <c r="H31" i="7"/>
  <c r="I31" i="7" s="1"/>
  <c r="G49" i="7" l="1"/>
  <c r="L44" i="7"/>
  <c r="H44" i="7"/>
  <c r="I44" i="7" s="1"/>
  <c r="L49" i="7" l="1"/>
  <c r="G51" i="7"/>
  <c r="H49" i="7"/>
  <c r="I49" i="7" s="1"/>
  <c r="K11" i="5" l="1"/>
  <c r="K10" i="5"/>
  <c r="K17" i="5" s="1"/>
  <c r="K9" i="5"/>
  <c r="K8" i="5"/>
  <c r="K19" i="5" l="1"/>
  <c r="K18" i="5"/>
  <c r="K11" i="4" l="1"/>
  <c r="K10" i="4"/>
  <c r="K17" i="4" s="1"/>
  <c r="K9" i="4"/>
  <c r="K8" i="4"/>
  <c r="K19" i="4" l="1"/>
  <c r="K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111" authorId="0" shapeId="0" xr:uid="{5B132463-BB33-4583-8E50-56F672A50729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credito IVA ceduto al factor Sondrio / Factor IT
liquidato a giugno 24</t>
        </r>
      </text>
    </comment>
    <comment ref="G111" authorId="0" shapeId="0" xr:uid="{04A964E5-8B8E-4C4C-A34D-18755EF0C2E5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Crediti v/Altri</t>
        </r>
      </text>
    </comment>
  </commentList>
</comments>
</file>

<file path=xl/sharedStrings.xml><?xml version="1.0" encoding="utf-8"?>
<sst xmlns="http://schemas.openxmlformats.org/spreadsheetml/2006/main" count="1580" uniqueCount="619">
  <si>
    <t>Calcolo della materialità</t>
  </si>
  <si>
    <t>Totale attivo</t>
  </si>
  <si>
    <t>Patrimonio netto</t>
  </si>
  <si>
    <t>Ricavi</t>
  </si>
  <si>
    <t>Risultato ante imposte</t>
  </si>
  <si>
    <t>Parametro</t>
  </si>
  <si>
    <t>Parametro utilizzato</t>
  </si>
  <si>
    <t>Materialità operativa</t>
  </si>
  <si>
    <t>Errori trascurabili</t>
  </si>
  <si>
    <t>3%-7%</t>
  </si>
  <si>
    <t>1%-3%</t>
  </si>
  <si>
    <t>3%-5%</t>
  </si>
  <si>
    <t>% min-% max
Guida IFAC</t>
  </si>
  <si>
    <t>Materialità complessiva</t>
  </si>
  <si>
    <t>Valori utilizzati arrotondati</t>
  </si>
  <si>
    <t>% Applicata
preliminare</t>
  </si>
  <si>
    <t>% Utilizzata
preliminare</t>
  </si>
  <si>
    <t>Valori
calcolati</t>
  </si>
  <si>
    <t>ESERCIZIO CORRENTE</t>
  </si>
  <si>
    <t>Materialità</t>
  </si>
  <si>
    <t>31/12/N
da Bozza di bilancio</t>
  </si>
  <si>
    <t>DELTA S.p.A.</t>
  </si>
  <si>
    <t>SEE 6.4</t>
  </si>
  <si>
    <t>Stato Patrimoniale</t>
  </si>
  <si>
    <t>31/12/N
BOZZA</t>
  </si>
  <si>
    <t>31/12/2023 DEP</t>
  </si>
  <si>
    <t>Diff Lead - DEP 2023</t>
  </si>
  <si>
    <t>31/12/2023
LEAD</t>
  </si>
  <si>
    <t>31/12/2022
LEAD</t>
  </si>
  <si>
    <t>VAR 23-22</t>
  </si>
  <si>
    <t>VAR %</t>
  </si>
  <si>
    <t>31/12/N-1 DEF</t>
  </si>
  <si>
    <t>Diff Lead - DEP 2022</t>
  </si>
  <si>
    <t>31/12/N-2 DEF</t>
  </si>
  <si>
    <t>Attivo</t>
  </si>
  <si>
    <t>A. CREDITI VERSO SOCI</t>
  </si>
  <si>
    <t>B.I.  IMMOB. IMMATERIALI</t>
  </si>
  <si>
    <t>B.I.1. Costi impianto e ampl.</t>
  </si>
  <si>
    <t>B.I.2. Costi di sviluppo</t>
  </si>
  <si>
    <t>B.I.3. Diritti brevetto ind.</t>
  </si>
  <si>
    <t>B.I.4. Concessioni, licenze</t>
  </si>
  <si>
    <t>B.I.6. Imm. in corso</t>
  </si>
  <si>
    <t>B.I.7. Altre immobiliz. Immateriali</t>
  </si>
  <si>
    <t>B.II.  IMMOB. MATERIALI</t>
  </si>
  <si>
    <t>B.II.1. Terreni e fabbricati</t>
  </si>
  <si>
    <t>B.II.2. Impianti</t>
  </si>
  <si>
    <t>B.II.3. Attrez. industriali</t>
  </si>
  <si>
    <t>B.II.4. Altri beni</t>
  </si>
  <si>
    <t>B.II.5. Imm. in corso/acconti</t>
  </si>
  <si>
    <t>B.III.  IMMOB. FINANZIARIE</t>
  </si>
  <si>
    <t>B.III.1.b. Imprese collegate</t>
  </si>
  <si>
    <t>B.III.1.d.bis. Altre imprese</t>
  </si>
  <si>
    <t>B.III.2.b Cred. Imm. Collegate</t>
  </si>
  <si>
    <t>B.III.2.d.bis Cred. vs Altri oltre</t>
  </si>
  <si>
    <t>B.III.4. Strumenti finanziari derivati att.</t>
  </si>
  <si>
    <t>C.I.  RIMANENZE</t>
  </si>
  <si>
    <t>C.I.1. Materie prime</t>
  </si>
  <si>
    <t>C.I.2. Prodotti semilav./in corso</t>
  </si>
  <si>
    <t>C.I.3. Lavori in corso</t>
  </si>
  <si>
    <t>C.I.4. Prodotti finiti</t>
  </si>
  <si>
    <t>C.I.5. Acconti</t>
  </si>
  <si>
    <t>C.II.  CREDITI</t>
  </si>
  <si>
    <t>C.II.1. Cred. vs Clienti entro</t>
  </si>
  <si>
    <t>C.II.3. Cred. vs Collegate entro</t>
  </si>
  <si>
    <t>C.II.5.bis. Cred. tributari</t>
  </si>
  <si>
    <t>C.II.5.bis. Cred. tributari di cui entro</t>
  </si>
  <si>
    <t>C.II.5.bis. Cred. tributari di cui oltre</t>
  </si>
  <si>
    <t>C.II.5.ter. Cred. per imposte anticipate entro</t>
  </si>
  <si>
    <t>C.II.5.quater. Cred. verso altri</t>
  </si>
  <si>
    <t>C.II.5.quater. Cred. verso altri di cui entro</t>
  </si>
  <si>
    <t>C.II.5.quater. Cred. verso altri di cui oltre</t>
  </si>
  <si>
    <t>C.IV. ATT. FINANZIARIE NON IMM.</t>
  </si>
  <si>
    <t>C.III.5. strumenti finanziari derivati attivi</t>
  </si>
  <si>
    <t>C.IV. DISPON. LIQUIDE</t>
  </si>
  <si>
    <t>C.IV.1. Depositi bancari</t>
  </si>
  <si>
    <t>C.IV.2. Assegni</t>
  </si>
  <si>
    <t>C.IV.3. Denaro in cassa</t>
  </si>
  <si>
    <t>D. RATEI E RISCONTI</t>
  </si>
  <si>
    <t>Passivo</t>
  </si>
  <si>
    <t>A.  PATRIMONIO NETTO</t>
  </si>
  <si>
    <t>A.I. Capitale sociale</t>
  </si>
  <si>
    <t>A.II. Riserva da sovrapprezzo</t>
  </si>
  <si>
    <t>A.III. Riserva di rivalutazione</t>
  </si>
  <si>
    <t>A.IV. Riserva legale</t>
  </si>
  <si>
    <t>A.V. Riserva statutaria</t>
  </si>
  <si>
    <t>A.VI. Altre riserve</t>
  </si>
  <si>
    <t>A.VII. Riserva per operazioni di copertura dei flussi finanziari attesi</t>
  </si>
  <si>
    <t>A.VIII. Utile/perdita a nuovo</t>
  </si>
  <si>
    <t>A.IX. Utile/perdita di esercizio</t>
  </si>
  <si>
    <t>A.X. Riserva negativa per azioni proprie in portafoglio</t>
  </si>
  <si>
    <t>B.  FONDI RISCHI</t>
  </si>
  <si>
    <t>B.1. Fondo di Quiescenza</t>
  </si>
  <si>
    <t>B.2. Fondo Imposte anche differite</t>
  </si>
  <si>
    <t>B.3. Strumenti finanziari derivati passivi</t>
  </si>
  <si>
    <t>B.4. Altri Fondi</t>
  </si>
  <si>
    <t>C. TRATTAMENTO DI FINE RAPPORTO</t>
  </si>
  <si>
    <t>D.  DEBITI</t>
  </si>
  <si>
    <t>D.4. Banche</t>
  </si>
  <si>
    <t>D.5. Altri finanziatori</t>
  </si>
  <si>
    <t>D.6 Acconti</t>
  </si>
  <si>
    <t>D.7. Fornitori</t>
  </si>
  <si>
    <t>D.12. Debiti Tributari</t>
  </si>
  <si>
    <t>D.13. Istituti previdenza</t>
  </si>
  <si>
    <t>D.14. Altri Debiti</t>
  </si>
  <si>
    <t>E. RATEI E RISCONTI</t>
  </si>
  <si>
    <t>Check</t>
  </si>
  <si>
    <t>Conto Economico</t>
  </si>
  <si>
    <t>31/12/2023
DEF</t>
  </si>
  <si>
    <t>Diff Lead - DEF 2022</t>
  </si>
  <si>
    <t>31/12/2022
DEP</t>
  </si>
  <si>
    <t>A. VAL. DELLA PRODUZIONE</t>
  </si>
  <si>
    <t>A.1. Ricavi vendite</t>
  </si>
  <si>
    <t>A.2. Var. rimanenze prodotti</t>
  </si>
  <si>
    <t>A.3. Variazione lavori</t>
  </si>
  <si>
    <t>A.4. Incrementi di immob.</t>
  </si>
  <si>
    <t>A.5. Altri ricavi</t>
  </si>
  <si>
    <t>Contributi conto esercizio</t>
  </si>
  <si>
    <t>B. COSTI DELLA PRODUZIONE</t>
  </si>
  <si>
    <t>B.6. Materie prime e consumo</t>
  </si>
  <si>
    <t>B.7. Servizi</t>
  </si>
  <si>
    <t>B.8. Godimento beni di terzi</t>
  </si>
  <si>
    <t>B.9. Costi del personale</t>
  </si>
  <si>
    <t>B.9.a. Salari e stipendi</t>
  </si>
  <si>
    <t>B.9.b. Oneri sociali</t>
  </si>
  <si>
    <t>B.9.c. Tratt. fine rapporto</t>
  </si>
  <si>
    <t>B.9.d. Tratt. di quiescenza</t>
  </si>
  <si>
    <t>B.9.e. Altri costi</t>
  </si>
  <si>
    <t>B.10. TOT Ammortamenti e svalut.</t>
  </si>
  <si>
    <t>B.10.a. Amm. Immob. Immat.</t>
  </si>
  <si>
    <t>B.10.b. Amm. Immob. Mat.</t>
  </si>
  <si>
    <t>B.10.d. Svalut. crediti</t>
  </si>
  <si>
    <t>B.11. Variazione materie</t>
  </si>
  <si>
    <t>B.12. Accantonamenti per rischi</t>
  </si>
  <si>
    <t>B.13. Altri accantonamenti</t>
  </si>
  <si>
    <t>B.14. Oneri diversi di gestione</t>
  </si>
  <si>
    <t>RISULTATO OPERATIVO</t>
  </si>
  <si>
    <t>C. PROVENTI E ONERI FINANZIARI</t>
  </si>
  <si>
    <t>C.15. proventi da partecip.</t>
  </si>
  <si>
    <t>C.16.d. Proventi fin. Diversi</t>
  </si>
  <si>
    <t>C.17.  Oneri finanziari</t>
  </si>
  <si>
    <t>C.17.bis Utili e perdite su cambi</t>
  </si>
  <si>
    <t>D. RETT. DI VALORE DI ATT. E PASS. FINANZIARIE</t>
  </si>
  <si>
    <t>D.18.d Rivalutazioni di strumenti finanziari derivati</t>
  </si>
  <si>
    <t>D.19.d Svalutazioni di strumenti finanziari derivati</t>
  </si>
  <si>
    <t>RISULTATO PRIMA DELLE IMPOSTE</t>
  </si>
  <si>
    <t>20.  Imposte sul reddito correnti, differite e anticipate</t>
  </si>
  <si>
    <t>Imposte correnti</t>
  </si>
  <si>
    <t>Imposte differite e anticipate</t>
  </si>
  <si>
    <t>21. UTILE DI ESERCIZIO</t>
  </si>
  <si>
    <t>Delta S.p.A.</t>
  </si>
  <si>
    <t>Au 31.12.N</t>
  </si>
  <si>
    <t>Bilancio di verifica al 31/12/N</t>
  </si>
  <si>
    <t>(Utile)/Perdita d'esercizio</t>
  </si>
  <si>
    <t>Codice
CO.GE.</t>
  </si>
  <si>
    <t>Descrizione</t>
  </si>
  <si>
    <t>31/12/N-1
DEF</t>
  </si>
  <si>
    <t>VAR 2023-2022</t>
  </si>
  <si>
    <t>Mapping</t>
  </si>
  <si>
    <t>A/P/C/R</t>
  </si>
  <si>
    <t>diritti utilizz. software</t>
  </si>
  <si>
    <t>A</t>
  </si>
  <si>
    <t>f.do Amm. diritti soft.</t>
  </si>
  <si>
    <t>marchi commerciali</t>
  </si>
  <si>
    <t>spese pluriennali beni leasing</t>
  </si>
  <si>
    <t>spese pluriennali</t>
  </si>
  <si>
    <t>altre immob.immateriali</t>
  </si>
  <si>
    <t>terreno ex onlus</t>
  </si>
  <si>
    <t>terreno verde redavalle</t>
  </si>
  <si>
    <t>terreno</t>
  </si>
  <si>
    <t>terreno pertin.fabbrc.civ</t>
  </si>
  <si>
    <t>terreno pert.fabbr.uffic.</t>
  </si>
  <si>
    <t>terreno pert.fabbrc.indus</t>
  </si>
  <si>
    <t>terreno edific redavalle</t>
  </si>
  <si>
    <t>fabbricati civili uso uff</t>
  </si>
  <si>
    <t>f.do ammort.fabbricati c.</t>
  </si>
  <si>
    <t>fabbricati industriali</t>
  </si>
  <si>
    <t>fabbricati ind.redavalle</t>
  </si>
  <si>
    <t>f.do ammort.fabbricati i.</t>
  </si>
  <si>
    <t>prefabbricati uffici</t>
  </si>
  <si>
    <t>f.do ammort.prefabbr.uff.</t>
  </si>
  <si>
    <t>fabbricati civili residen</t>
  </si>
  <si>
    <t>abitaz.con annesso parche</t>
  </si>
  <si>
    <t>fabbricati industr. nuovo capannone</t>
  </si>
  <si>
    <t>f.do ammort.fabbr. nuovo capannone</t>
  </si>
  <si>
    <t>SELEZIONATRICE OTTICA</t>
  </si>
  <si>
    <t>f.do amm.imp-SELEZIONATRICE OTTICA</t>
  </si>
  <si>
    <t>impianti generici e spec.</t>
  </si>
  <si>
    <t>macch.e attrezz.ecomix sr</t>
  </si>
  <si>
    <t>imp.concessi in comodato</t>
  </si>
  <si>
    <t>impianti miscelaz.far.eco</t>
  </si>
  <si>
    <t>f.do amm.imp.gen.e spec.</t>
  </si>
  <si>
    <t>f.do amm.macch.e attr.eco</t>
  </si>
  <si>
    <t>f.do amm.imp. in comodato</t>
  </si>
  <si>
    <t>f.do amm.imp.miscela.Ecom</t>
  </si>
  <si>
    <t>macch.autom.processo prod</t>
  </si>
  <si>
    <t>f.do amm.macch.automatici</t>
  </si>
  <si>
    <t>NASTRO TRASPORTATORE</t>
  </si>
  <si>
    <t>F.DO AMM.TO LINEA DI CONFEZ.SACCHI</t>
  </si>
  <si>
    <t>IMPIANTI LAMINATOI 4,0</t>
  </si>
  <si>
    <t>F.DO AMM.TO IMPIANTO LAMINATOI 4.0</t>
  </si>
  <si>
    <t>apparecchi laboratorio</t>
  </si>
  <si>
    <t>f.do amm. apparecchi lab.</t>
  </si>
  <si>
    <t>laboratorio panificazione</t>
  </si>
  <si>
    <t>f.do amm. lab.panificaz.</t>
  </si>
  <si>
    <t>autov.trasp.merci e carr.</t>
  </si>
  <si>
    <t>f.do amm.autov.trasp.merc</t>
  </si>
  <si>
    <t>Macch.elettr.ed elettron.</t>
  </si>
  <si>
    <t>F.do amm. macch.elettric.</t>
  </si>
  <si>
    <t>Mobili e macch.ord.d'uff.</t>
  </si>
  <si>
    <t>F.do amm.mob. e macch.ord</t>
  </si>
  <si>
    <t>Imm. Inf. a 516,46 euro</t>
  </si>
  <si>
    <t>F.do Imm.Inf.a 516,46Euro</t>
  </si>
  <si>
    <t>Acconti su Laminatoi</t>
  </si>
  <si>
    <t>Acconti su Apparecchio Chopin</t>
  </si>
  <si>
    <t>Imm. in corso piatt. log.ca</t>
  </si>
  <si>
    <t>Imm. in corso impianti</t>
  </si>
  <si>
    <t>Progetto Nuovi Uffici</t>
  </si>
  <si>
    <t>Fotovoltaico imp .imm. in corso</t>
  </si>
  <si>
    <t>Acconti su Laminatoi Mol. B</t>
  </si>
  <si>
    <t>Part.Molino Bona S.r.l.</t>
  </si>
  <si>
    <t>Part.B.C.C.Borghetto Lod.</t>
  </si>
  <si>
    <t>Part.B.C.C.Laudense</t>
  </si>
  <si>
    <t>Part.Cons.C.llo Prod.Bio.</t>
  </si>
  <si>
    <t>Part.artifidi</t>
  </si>
  <si>
    <t>Azioni Banco Popolare</t>
  </si>
  <si>
    <t>Azioni CENTROPADANA</t>
  </si>
  <si>
    <t>FONDO PICTET</t>
  </si>
  <si>
    <t>FONDO ANIMA</t>
  </si>
  <si>
    <t>FINANZ.TI ATTIVI MOLINO BONA SRL IN</t>
  </si>
  <si>
    <t>Depositi cauzionali att.</t>
  </si>
  <si>
    <t>Strumenti derivati att.di copertura</t>
  </si>
  <si>
    <t>Rimanenze Grano</t>
  </si>
  <si>
    <t>Rim. materie ausiliarie</t>
  </si>
  <si>
    <t>Rim.Imballi</t>
  </si>
  <si>
    <t>Rim.Cerealicole e Legum.</t>
  </si>
  <si>
    <t>Rimanenze Farina</t>
  </si>
  <si>
    <t>Rimanenze Cruscami</t>
  </si>
  <si>
    <t>Rimanenze Ecogran</t>
  </si>
  <si>
    <t>grano in conto spedizione</t>
  </si>
  <si>
    <t>Panifici Artigianali</t>
  </si>
  <si>
    <t>Panifici industriali</t>
  </si>
  <si>
    <t>Industrie Alimentari</t>
  </si>
  <si>
    <t>Altri dettaglianti</t>
  </si>
  <si>
    <t>Clienti grossisti</t>
  </si>
  <si>
    <t>Clienti Sottoprodotti</t>
  </si>
  <si>
    <t>Clienti acquirenti grano</t>
  </si>
  <si>
    <t>Clienti non caratterist.</t>
  </si>
  <si>
    <t>F.do Svalut.crediti tass.</t>
  </si>
  <si>
    <t>Fatture da emettere</t>
  </si>
  <si>
    <t>Debiti per NC da emettere</t>
  </si>
  <si>
    <t>P</t>
  </si>
  <si>
    <t>Banco Bpm c/toEffetti al SBF</t>
  </si>
  <si>
    <t>Banca Pop.Sondrio c/Eff.riba SBF</t>
  </si>
  <si>
    <t>Banca Pop.Sondrio c/Effetti sdd SBF</t>
  </si>
  <si>
    <t>Uniicredit c/toEffetti al SBF</t>
  </si>
  <si>
    <t>Bper c/toEffetti al SBF</t>
  </si>
  <si>
    <t>MPS c/toEffetti al SBF</t>
  </si>
  <si>
    <t>MPS c/toEffetti al SBF_2 linea</t>
  </si>
  <si>
    <t>bpl effetti.d.incasso</t>
  </si>
  <si>
    <t>Bcc centropadana c/toEffetti al SBF</t>
  </si>
  <si>
    <t>BPM ant. effetti sbf garantini</t>
  </si>
  <si>
    <t>Cr.V/Molino Bona srl In l</t>
  </si>
  <si>
    <t>Iva c/erario a credito</t>
  </si>
  <si>
    <t>Iva c/cred.da istanza rim</t>
  </si>
  <si>
    <t>Iva credito da Compensare</t>
  </si>
  <si>
    <t>Erario c/impos.sos.rivtfr</t>
  </si>
  <si>
    <t>Cred.d'imposta per accise</t>
  </si>
  <si>
    <t>Rit.Acc.Interessi ativi</t>
  </si>
  <si>
    <t>Credito  IRPEF rit.ecc.ti</t>
  </si>
  <si>
    <t>Credito acconto Ires</t>
  </si>
  <si>
    <t>Cred.Irap da compensare</t>
  </si>
  <si>
    <t>Cr.sanificazione e dpi a125 dl34/20</t>
  </si>
  <si>
    <t>Cr.d'imposta investimenti</t>
  </si>
  <si>
    <t>Iva c/erario a cred.autoft.denuncia</t>
  </si>
  <si>
    <t>CREDITO IMPOSTA IMP. ENERGIVORE</t>
  </si>
  <si>
    <t>CREDITO IMPOSTA PUBBLICITA'</t>
  </si>
  <si>
    <t>Cr.d'imposta inv. l.178/20 entro</t>
  </si>
  <si>
    <t>Cr.d'imposta inv. l.160/19 oltre</t>
  </si>
  <si>
    <t>Cr.d'imposta inv. l.178/20 oltre</t>
  </si>
  <si>
    <t>Credito Invitalia</t>
  </si>
  <si>
    <t>Cred.imposte antic.Ires</t>
  </si>
  <si>
    <t>Crediti Vs/ Inail</t>
  </si>
  <si>
    <t>Fornitori C/ANTICIPI</t>
  </si>
  <si>
    <t>Forn.C/ANTICIPI</t>
  </si>
  <si>
    <t>Crediti verso dipendenti</t>
  </si>
  <si>
    <t>Crediti v/enasarco rit.ecc.</t>
  </si>
  <si>
    <t>credito v. FASA</t>
  </si>
  <si>
    <t>Caparra confirmatoria</t>
  </si>
  <si>
    <t>Crediti diversi</t>
  </si>
  <si>
    <t>Crediti verso inquilini</t>
  </si>
  <si>
    <t>Pos</t>
  </si>
  <si>
    <t>Crediti V/Amministratori</t>
  </si>
  <si>
    <t>crediti v.agenti ritenute enasarco</t>
  </si>
  <si>
    <t>Crediti 2022</t>
  </si>
  <si>
    <t>fornitori - note di accredito da ricevere (EE)</t>
  </si>
  <si>
    <t>Debiti Vs.Finanz.dipend.</t>
  </si>
  <si>
    <t>Crediti per acconti dipen</t>
  </si>
  <si>
    <t>Paypal</t>
  </si>
  <si>
    <t>san paolo imi</t>
  </si>
  <si>
    <t>cariparma</t>
  </si>
  <si>
    <t>banco popolare SACE</t>
  </si>
  <si>
    <t>Carta You Card Business Gruppo BPM</t>
  </si>
  <si>
    <t>banco popolare</t>
  </si>
  <si>
    <t>unicredit banca</t>
  </si>
  <si>
    <t>Cassa assegni</t>
  </si>
  <si>
    <t>C/ Affrancatrice</t>
  </si>
  <si>
    <t>Cassa contanti</t>
  </si>
  <si>
    <t>Cassa Corrispettivi</t>
  </si>
  <si>
    <t>Risconti attivi</t>
  </si>
  <si>
    <t>Capitale Sociale</t>
  </si>
  <si>
    <t>Riserva Rival arl 110 DL 104/2020</t>
  </si>
  <si>
    <t>Riserva Riall DL 104/2020</t>
  </si>
  <si>
    <t>Riserva ordinaria</t>
  </si>
  <si>
    <t>Ris.cop.flussi fin.attesi</t>
  </si>
  <si>
    <t>Riserva Az.Proprie in Por</t>
  </si>
  <si>
    <t>F.do acc.ind.suppl.va.cl.</t>
  </si>
  <si>
    <t>Fondo imposte diff.Rivalu</t>
  </si>
  <si>
    <t>F.do T.F.R.</t>
  </si>
  <si>
    <t>cred.coop.borghetto  614</t>
  </si>
  <si>
    <t>monte paschi di siena</t>
  </si>
  <si>
    <t>Factorit MEDIOCREDITO</t>
  </si>
  <si>
    <t>Mutuo cri-05062020-8524206</t>
  </si>
  <si>
    <t>Banco BPM fornitori c/ant</t>
  </si>
  <si>
    <t>popolare ital.c/ant.fatt.</t>
  </si>
  <si>
    <t>sanpaolo         c/ant.fatt.</t>
  </si>
  <si>
    <t>sanpaolo fornitori c/ant</t>
  </si>
  <si>
    <t>banca popolare sondrio</t>
  </si>
  <si>
    <t>banca pop. emilia romagna</t>
  </si>
  <si>
    <t>San Paolo c/fin.import</t>
  </si>
  <si>
    <t>Unicredit Banca  c/import</t>
  </si>
  <si>
    <t>Popolare Sondrio c/import</t>
  </si>
  <si>
    <t>Pop. Emilia Rom. c/import</t>
  </si>
  <si>
    <t>Monte Paschi  c/import</t>
  </si>
  <si>
    <t>Banca Carige  c/import</t>
  </si>
  <si>
    <t>Deb v/BPm Banco Popolare  int pass</t>
  </si>
  <si>
    <t>Deb v/BCC Borghetto l  int pass</t>
  </si>
  <si>
    <t>Deb v/CRI Unicredit Banca int pass</t>
  </si>
  <si>
    <t>Deb v/BPS Banca p.sondrio int pass</t>
  </si>
  <si>
    <t>Deb v/POPEM Banca pop,em.r int pass</t>
  </si>
  <si>
    <t>Deb v/MPS Monte Paschi Sie int pass</t>
  </si>
  <si>
    <t>Cartasì</t>
  </si>
  <si>
    <t>carta Sanpaolo Credit</t>
  </si>
  <si>
    <t>Mutuo bpm14 04 21-n 125965</t>
  </si>
  <si>
    <t>Mutuo bpm 28 07 21</t>
  </si>
  <si>
    <t>Cred.Coop.Borgh.c/import</t>
  </si>
  <si>
    <t>Anticipo effetti bpm sfb garantiti</t>
  </si>
  <si>
    <t>Mutuo bpm sace 07/09/2023</t>
  </si>
  <si>
    <t>Factorit SONDRIO</t>
  </si>
  <si>
    <t>Factorit cc cariparma  32</t>
  </si>
  <si>
    <t>Factorit cc cariparma  02</t>
  </si>
  <si>
    <t>Factoring Comm.Eurofact98</t>
  </si>
  <si>
    <t>Factorit SONDRIO CONTO 3</t>
  </si>
  <si>
    <t>Note Credito da ricevere</t>
  </si>
  <si>
    <t>Note Credito da incassare</t>
  </si>
  <si>
    <t>Fornitori Materie prime</t>
  </si>
  <si>
    <t>Fornitori di beni e serv.</t>
  </si>
  <si>
    <t>Debiti verso Mediatori</t>
  </si>
  <si>
    <t>Debiti Vs/Rappresentanti</t>
  </si>
  <si>
    <t>Debiti Vs/Consulenti</t>
  </si>
  <si>
    <t>Fornitori fatt.da ricev.</t>
  </si>
  <si>
    <t>Es.c/rit.Lav.auton.(1040) da accert</t>
  </si>
  <si>
    <t>Es.c/ritenute dipendenti</t>
  </si>
  <si>
    <t>Es.c/rit.Lav.auton.(1040)</t>
  </si>
  <si>
    <t>deb.futuri rit.rappr.ti</t>
  </si>
  <si>
    <t>Es.c/imposta sost.riv.Tfr</t>
  </si>
  <si>
    <t>Debito per IRAP</t>
  </si>
  <si>
    <t>Debito per IRES</t>
  </si>
  <si>
    <t>Imp.sost.l.104/2020 art 110 c4</t>
  </si>
  <si>
    <t>deb.imp.sost.riallineamento</t>
  </si>
  <si>
    <t>Es.c/ritenute collaborat.</t>
  </si>
  <si>
    <t>TFR Vera Vita</t>
  </si>
  <si>
    <t>Inps</t>
  </si>
  <si>
    <t>Alifond fondo pensione</t>
  </si>
  <si>
    <t>Alleanza fondo pensione</t>
  </si>
  <si>
    <t>TFR mediolanum</t>
  </si>
  <si>
    <t>Enasarco c/ritenute</t>
  </si>
  <si>
    <t>Rit.Previd.collaboratori</t>
  </si>
  <si>
    <t>F.do INAIL</t>
  </si>
  <si>
    <t>Debiti Vs/Ammin.e Sindaci</t>
  </si>
  <si>
    <t>Dipendenti c/retribuzioni</t>
  </si>
  <si>
    <t>F.do Ferie c/retribuzioni</t>
  </si>
  <si>
    <t>Co.Co.Pro. c/retribuzioni</t>
  </si>
  <si>
    <t>Debiti per Firr anni precedenti</t>
  </si>
  <si>
    <t>Depositi cauzionali pass.</t>
  </si>
  <si>
    <t>Debiti organizz.sindacali</t>
  </si>
  <si>
    <t>Ratei passivi</t>
  </si>
  <si>
    <t>Risconti passivi</t>
  </si>
  <si>
    <t>Risc.pass.ctr.LR.7/2000</t>
  </si>
  <si>
    <t>Premi Clienti</t>
  </si>
  <si>
    <t>R</t>
  </si>
  <si>
    <t>Abbuoni passivi</t>
  </si>
  <si>
    <t>Vendite grano</t>
  </si>
  <si>
    <t>Vendite farina</t>
  </si>
  <si>
    <t>Vendite cruscami</t>
  </si>
  <si>
    <t>Vendite Ecogran</t>
  </si>
  <si>
    <t>Vendite cereal./legumin.</t>
  </si>
  <si>
    <t>Vendite mat. ausiliari</t>
  </si>
  <si>
    <t>Vendite pr.ti ns. spaccio</t>
  </si>
  <si>
    <t>Ricavi XXX</t>
  </si>
  <si>
    <t>R.I. Farina</t>
  </si>
  <si>
    <t>R.I. Cruscami</t>
  </si>
  <si>
    <t>R.I. Farine Ecogran</t>
  </si>
  <si>
    <t>R.I. Cereal.e leguminose</t>
  </si>
  <si>
    <t>R.F. Farina</t>
  </si>
  <si>
    <t>R.F. Cruscami</t>
  </si>
  <si>
    <t>R.F. Farine Ecogran</t>
  </si>
  <si>
    <t>R.F. Cereal.e leguminose</t>
  </si>
  <si>
    <t>Proventi vari</t>
  </si>
  <si>
    <t>Recupero sp.trasp.e misc.</t>
  </si>
  <si>
    <t>Rimborsi da assicurazioni</t>
  </si>
  <si>
    <t>Proventi interrombilità</t>
  </si>
  <si>
    <t>Affitti attivi</t>
  </si>
  <si>
    <t>Arrotondamenti attivi</t>
  </si>
  <si>
    <t>Cr.Imposta per rec.accise</t>
  </si>
  <si>
    <t>Contributi fondoimpresa</t>
  </si>
  <si>
    <t>Ctr.c/impianti L.R.7/2000</t>
  </si>
  <si>
    <t>Plusvalenze patrimoniali</t>
  </si>
  <si>
    <t>Sopravvenienze attive</t>
  </si>
  <si>
    <t>contributo c/impianti</t>
  </si>
  <si>
    <t>Penalità commerciali attive</t>
  </si>
  <si>
    <t>rimborso da terzi per indennizzi</t>
  </si>
  <si>
    <t>sconti assicurativi coface</t>
  </si>
  <si>
    <t>rimborso spese legali</t>
  </si>
  <si>
    <t>Rimborsi INAIL</t>
  </si>
  <si>
    <t>Contributo Pubblicità</t>
  </si>
  <si>
    <t>Cont.Invitalia Inv.Sostenibili 4.0</t>
  </si>
  <si>
    <t>Abbuoni attivi</t>
  </si>
  <si>
    <t>Contributi in c/esercizio</t>
  </si>
  <si>
    <t>Contributo Energia Elettrica</t>
  </si>
  <si>
    <t>Acquisti Grano</t>
  </si>
  <si>
    <t>C</t>
  </si>
  <si>
    <t>Acquisti Farina</t>
  </si>
  <si>
    <t>Acquisti cruscami</t>
  </si>
  <si>
    <t>Acq. ECOGRAN</t>
  </si>
  <si>
    <t>Acq. Cerealicoli e legum.</t>
  </si>
  <si>
    <t>Acq. Materiali ausiliari</t>
  </si>
  <si>
    <t>Acquisti prodotti comm.ti</t>
  </si>
  <si>
    <t>Acquisti pr.ti ns.spaccio</t>
  </si>
  <si>
    <t>Materiale di consumo</t>
  </si>
  <si>
    <t>Materiali di manutenzione</t>
  </si>
  <si>
    <t>Acquisto Sacchi carta</t>
  </si>
  <si>
    <t>Acquisto Access.imballi</t>
  </si>
  <si>
    <t>Trasp su acq.cereal e leg</t>
  </si>
  <si>
    <t>Premi su acquisti</t>
  </si>
  <si>
    <t>Indumenti di lavoro</t>
  </si>
  <si>
    <t>Imm.Inf.a 516,46 euro</t>
  </si>
  <si>
    <t>Materiale di cancelleria</t>
  </si>
  <si>
    <t>Modulistica e stampati</t>
  </si>
  <si>
    <t>Costi XXX</t>
  </si>
  <si>
    <t>Trasporti su acquisti</t>
  </si>
  <si>
    <t>Spese access.trasp.ti</t>
  </si>
  <si>
    <t>Spese di stoccaggio</t>
  </si>
  <si>
    <t>Carburanti Autocarri</t>
  </si>
  <si>
    <t>Carburanti Autovetture</t>
  </si>
  <si>
    <t>Canone utilizzo software</t>
  </si>
  <si>
    <t>Canone serverfarm</t>
  </si>
  <si>
    <t>Man.Fabbricati Industrial</t>
  </si>
  <si>
    <t>Man.Impianti gen. e spec.</t>
  </si>
  <si>
    <t>Man.Attrezz.varia/minuta</t>
  </si>
  <si>
    <t>Man.App.re di Laboratorio</t>
  </si>
  <si>
    <t>Man.Macch.elett.elettron.</t>
  </si>
  <si>
    <t>Man.Mobili/macch.ord.uff.</t>
  </si>
  <si>
    <t>Man.Autoveic.trasp.merci</t>
  </si>
  <si>
    <t>Canone assistenza period</t>
  </si>
  <si>
    <t>Telef. centrale e telefax</t>
  </si>
  <si>
    <t>Telefonia Cellulare</t>
  </si>
  <si>
    <t>Forza motrice industriale</t>
  </si>
  <si>
    <t>Riscaldamento</t>
  </si>
  <si>
    <t>Acqua</t>
  </si>
  <si>
    <t>Assicurazione crediti</t>
  </si>
  <si>
    <t>Ass.fabbr.imp.macch.attr.</t>
  </si>
  <si>
    <t>Ass.Resp.civile, industr.</t>
  </si>
  <si>
    <t>Ass.infortuni/spese cura</t>
  </si>
  <si>
    <t>Ass.autoveic. da traspor.</t>
  </si>
  <si>
    <t>Postali e affrancazioni</t>
  </si>
  <si>
    <t>Viaggi e soggiorni</t>
  </si>
  <si>
    <t>Parcheggi autovetture</t>
  </si>
  <si>
    <t>Trasporti per vend.rinf.</t>
  </si>
  <si>
    <t>Trasporti per vend.sacchi</t>
  </si>
  <si>
    <t>Trasporti per vend.crusc.</t>
  </si>
  <si>
    <t>Mostre e fiere</t>
  </si>
  <si>
    <t>Provvigioni su vendite</t>
  </si>
  <si>
    <t>Enasarco contributi</t>
  </si>
  <si>
    <t>Inden.fine rapp.ag. FIRR</t>
  </si>
  <si>
    <t>ACC. Ind. Suppl.Clientela</t>
  </si>
  <si>
    <t>Autostrade trasp. merce</t>
  </si>
  <si>
    <t>Autostrade autovetture</t>
  </si>
  <si>
    <t>Spese pubblicitŕ e spons.</t>
  </si>
  <si>
    <t>Spese per dimostrazioni</t>
  </si>
  <si>
    <t>Spese art.pubblic.deducib</t>
  </si>
  <si>
    <t>Spese commerc.diverse</t>
  </si>
  <si>
    <t>Lavorazioni esterne</t>
  </si>
  <si>
    <t>Analisi laborat.esterne</t>
  </si>
  <si>
    <t>Facchinaggio</t>
  </si>
  <si>
    <t>Mediazioni su acquisti</t>
  </si>
  <si>
    <t>Spese legali e notarili</t>
  </si>
  <si>
    <t>Revisioni contabili</t>
  </si>
  <si>
    <t>Consulenze fisc.e lavoro</t>
  </si>
  <si>
    <t>Consulenze gestionali</t>
  </si>
  <si>
    <t>Consulenze tecniche</t>
  </si>
  <si>
    <t>Prestazioni Occasionali</t>
  </si>
  <si>
    <t>Consulenze  recup.crediti</t>
  </si>
  <si>
    <t>Consulenze commerciali</t>
  </si>
  <si>
    <t>Consulenze finanziarie</t>
  </si>
  <si>
    <t>Vigilanza</t>
  </si>
  <si>
    <t>spese pulizia uffici</t>
  </si>
  <si>
    <t>Smaltimento rifiuti</t>
  </si>
  <si>
    <t>Spese disinfestaz./sanif.</t>
  </si>
  <si>
    <t>Assic.vita.dirigenti</t>
  </si>
  <si>
    <t>Servizi sanitari</t>
  </si>
  <si>
    <t>Accessi Area C</t>
  </si>
  <si>
    <t>contributi passivi energivori</t>
  </si>
  <si>
    <t>Spese di rappresentanza</t>
  </si>
  <si>
    <t>Amministratori</t>
  </si>
  <si>
    <t>Sindaci</t>
  </si>
  <si>
    <t>Spese e comm.ni bancarie</t>
  </si>
  <si>
    <t>Man. beni a nioleggio</t>
  </si>
  <si>
    <t>RIMBORSI CHILOMETRICI</t>
  </si>
  <si>
    <t>Servizi Internet</t>
  </si>
  <si>
    <t>Ticket Restaurant</t>
  </si>
  <si>
    <t>Diritti doganali</t>
  </si>
  <si>
    <t>Costi 2022</t>
  </si>
  <si>
    <t>Costi Accessori su fin.ti</t>
  </si>
  <si>
    <t>commissioni Miag</t>
  </si>
  <si>
    <t>Altre Indennitŕ agenti</t>
  </si>
  <si>
    <t>Leasing Insaccatrice</t>
  </si>
  <si>
    <t>indicizzazioni passive leasing</t>
  </si>
  <si>
    <t>Noleggio Autovetture</t>
  </si>
  <si>
    <t>Noleggio Carrelli Elevat</t>
  </si>
  <si>
    <t>Noleggio Automezzi</t>
  </si>
  <si>
    <t>Noleggio Macc. Ufficio</t>
  </si>
  <si>
    <t>Leasing Autocarri</t>
  </si>
  <si>
    <t>Affitti passivi</t>
  </si>
  <si>
    <t>Salari e stipendi</t>
  </si>
  <si>
    <t>Ferie,permessi e festivit</t>
  </si>
  <si>
    <t>13° mensilità</t>
  </si>
  <si>
    <t>14° mensilità</t>
  </si>
  <si>
    <t>Contributi salari e stip.</t>
  </si>
  <si>
    <t>Contributi dirigenti</t>
  </si>
  <si>
    <t>Acc.to oneri soc. 13°</t>
  </si>
  <si>
    <t>Acc.to oneri soc. 14°</t>
  </si>
  <si>
    <t>Acc.to INAIL</t>
  </si>
  <si>
    <t>Acc.to TFR</t>
  </si>
  <si>
    <t>Acc.to TFR dirigenti</t>
  </si>
  <si>
    <t>Quota anno TFR</t>
  </si>
  <si>
    <t>Rimborso spese dipendenti</t>
  </si>
  <si>
    <t>Amm.to marchi commerciali</t>
  </si>
  <si>
    <t>Amm.to Software</t>
  </si>
  <si>
    <t>Amm.to altre imm.ni immat</t>
  </si>
  <si>
    <t>Amm.to costi pl. beni in leasing</t>
  </si>
  <si>
    <t>Amm.to selezionatrice ottica</t>
  </si>
  <si>
    <t>Ammort.to fabbricati ind.</t>
  </si>
  <si>
    <t>Amm.Fabbr.uso uffici civ.</t>
  </si>
  <si>
    <t>Amm.to Impianti generici</t>
  </si>
  <si>
    <t>Macch.autom.proces.prod.</t>
  </si>
  <si>
    <t>Imp.ti ceduti in comodato</t>
  </si>
  <si>
    <t>Macch.elettri.ed elettro.</t>
  </si>
  <si>
    <t>Autoveicoli da trasporto</t>
  </si>
  <si>
    <t>Apparecchi laboratorio</t>
  </si>
  <si>
    <t>Laboratorio panificazione</t>
  </si>
  <si>
    <t>Amm.to nastro trasportatore</t>
  </si>
  <si>
    <t>Amm.to laminatoi 4.0</t>
  </si>
  <si>
    <t>Acc.to sval.cred.tassato</t>
  </si>
  <si>
    <t>R.F. Materiale Ausiliario</t>
  </si>
  <si>
    <t>R.I. Grano</t>
  </si>
  <si>
    <t>R.I. Materiale ausiliario</t>
  </si>
  <si>
    <t>R.I. Imballi</t>
  </si>
  <si>
    <t>R.F. Grano</t>
  </si>
  <si>
    <t>R.F. Imballi</t>
  </si>
  <si>
    <t>Penalitŕ spese per svincoli/franch</t>
  </si>
  <si>
    <t>Altre imposte e tasse</t>
  </si>
  <si>
    <t>Omaggi a Clienti</t>
  </si>
  <si>
    <t>IMU</t>
  </si>
  <si>
    <t>Imposta di registro</t>
  </si>
  <si>
    <t>Tasse concess.governative</t>
  </si>
  <si>
    <t>CAMERA DI COMMERCIO</t>
  </si>
  <si>
    <t>Tasse possesso autoveic.</t>
  </si>
  <si>
    <t>Tasse possesso autovettur</t>
  </si>
  <si>
    <t>Licenze e tributi locali</t>
  </si>
  <si>
    <t>Valori bollati</t>
  </si>
  <si>
    <t>Perdite su crediti</t>
  </si>
  <si>
    <t>Arrotondamenti passivi</t>
  </si>
  <si>
    <t>Quote assoc. di categoria</t>
  </si>
  <si>
    <t>Danni risarciti a terzi</t>
  </si>
  <si>
    <t>Spese varie</t>
  </si>
  <si>
    <t>COSTI INDEDUCIBILI</t>
  </si>
  <si>
    <t>Multe e ammende</t>
  </si>
  <si>
    <t>Penalitŕ passive</t>
  </si>
  <si>
    <t>Sopravvenienze passive</t>
  </si>
  <si>
    <t>Soprav.pass.Indeducibi</t>
  </si>
  <si>
    <t>Costi emergenza COVID 19</t>
  </si>
  <si>
    <t>Erogazioni Liberali</t>
  </si>
  <si>
    <t>Dividendi partec.altre im</t>
  </si>
  <si>
    <t>differenziali positivi IRS</t>
  </si>
  <si>
    <t>Interessi attivi su c/c</t>
  </si>
  <si>
    <t>Interessi attivi diversi</t>
  </si>
  <si>
    <t>Interessi attivi Sabatini</t>
  </si>
  <si>
    <t>Interessi attivi rimb. credito iva</t>
  </si>
  <si>
    <t>Commissioni garanzia SACE</t>
  </si>
  <si>
    <t>Int.pass.su c/corrente</t>
  </si>
  <si>
    <t>Int.pass.su mutui bancari</t>
  </si>
  <si>
    <t>Int.pass.su finimport</t>
  </si>
  <si>
    <t>Int.pass.su fin.forn.it.</t>
  </si>
  <si>
    <t>Int.pass.su c/antipici</t>
  </si>
  <si>
    <t>Int.pass.portafoglio</t>
  </si>
  <si>
    <t>Int.pass.su mutuo ipotec.</t>
  </si>
  <si>
    <t>Int.pass.factoring</t>
  </si>
  <si>
    <t>spese su factoring</t>
  </si>
  <si>
    <t>Int.pass.fornitori</t>
  </si>
  <si>
    <t>Differenz.le negativo IRS</t>
  </si>
  <si>
    <t>Oneri su cessione crediti</t>
  </si>
  <si>
    <t>Int.pass.iscrizione ruolo</t>
  </si>
  <si>
    <t>Perdite da ces.par.im.altre imprese</t>
  </si>
  <si>
    <t>rivalutazione derivati</t>
  </si>
  <si>
    <t>svalutaz.strum.fin.ri der</t>
  </si>
  <si>
    <t>Irap di esercizio</t>
  </si>
  <si>
    <t>Ires di esercizio</t>
  </si>
  <si>
    <t>Utilizzo Irap prepagata</t>
  </si>
  <si>
    <t>Utilizzo Ires prepagata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</si>
</sst>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1"/>
      <color indexed="6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  <fill>
      <patternFill patternType="solid">
        <fgColor indexed="41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178">
    <xf numFmtId="0" fontId="0" fillId="0" borderId="0" xfId="0"/>
    <xf numFmtId="0" fontId="2" fillId="0" borderId="0" xfId="0" quotePrefix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3" fontId="0" fillId="0" borderId="0" xfId="0" applyNumberFormat="1" applyAlignment="1">
      <alignment vertical="center"/>
    </xf>
    <xf numFmtId="3" fontId="0" fillId="0" borderId="2" xfId="0" applyNumberFormat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9" fontId="0" fillId="0" borderId="0" xfId="1" applyFont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9" fontId="0" fillId="0" borderId="2" xfId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3" fontId="0" fillId="0" borderId="3" xfId="0" applyNumberFormat="1" applyBorder="1" applyAlignment="1">
      <alignment vertical="center"/>
    </xf>
    <xf numFmtId="9" fontId="0" fillId="0" borderId="3" xfId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3" borderId="0" xfId="0" applyFill="1" applyAlignment="1">
      <alignment vertical="center"/>
    </xf>
    <xf numFmtId="3" fontId="0" fillId="3" borderId="0" xfId="0" applyNumberFormat="1" applyFill="1" applyAlignment="1">
      <alignment vertical="center"/>
    </xf>
    <xf numFmtId="3" fontId="0" fillId="3" borderId="0" xfId="0" applyNumberFormat="1" applyFill="1" applyAlignment="1">
      <alignment horizontal="center" vertical="center"/>
    </xf>
    <xf numFmtId="9" fontId="0" fillId="3" borderId="0" xfId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2" fillId="4" borderId="1" xfId="0" quotePrefix="1" applyNumberFormat="1" applyFont="1" applyFill="1" applyBorder="1" applyAlignment="1">
      <alignment horizontal="right" vertical="center" wrapText="1"/>
    </xf>
    <xf numFmtId="3" fontId="2" fillId="4" borderId="1" xfId="0" quotePrefix="1" applyNumberFormat="1" applyFont="1" applyFill="1" applyBorder="1" applyAlignment="1">
      <alignment horizontal="center" vertical="center" wrapText="1"/>
    </xf>
    <xf numFmtId="9" fontId="2" fillId="4" borderId="1" xfId="1" quotePrefix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3" fontId="2" fillId="2" borderId="0" xfId="0" applyNumberFormat="1" applyFont="1" applyFill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horizontal="centerContinuous" vertical="center"/>
    </xf>
    <xf numFmtId="9" fontId="0" fillId="0" borderId="0" xfId="1" applyFont="1" applyFill="1" applyBorder="1" applyAlignment="1">
      <alignment horizontal="center" vertical="center"/>
    </xf>
    <xf numFmtId="43" fontId="0" fillId="0" borderId="0" xfId="2" applyFont="1" applyAlignment="1">
      <alignment vertical="center"/>
    </xf>
    <xf numFmtId="3" fontId="4" fillId="0" borderId="0" xfId="0" applyNumberFormat="1" applyFont="1"/>
    <xf numFmtId="9" fontId="0" fillId="0" borderId="0" xfId="1" applyFont="1" applyAlignment="1">
      <alignment vertical="center"/>
    </xf>
    <xf numFmtId="0" fontId="6" fillId="6" borderId="6" xfId="3" applyFont="1" applyFill="1" applyBorder="1" applyAlignment="1">
      <alignment vertical="center"/>
    </xf>
    <xf numFmtId="0" fontId="7" fillId="6" borderId="0" xfId="3" applyFont="1" applyFill="1" applyAlignment="1">
      <alignment vertical="center"/>
    </xf>
    <xf numFmtId="164" fontId="7" fillId="6" borderId="0" xfId="2" applyNumberFormat="1" applyFont="1" applyFill="1" applyAlignment="1">
      <alignment vertical="center"/>
    </xf>
    <xf numFmtId="164" fontId="7" fillId="0" borderId="0" xfId="2" applyNumberFormat="1" applyFont="1" applyFill="1" applyBorder="1" applyAlignment="1">
      <alignment vertical="center"/>
    </xf>
    <xf numFmtId="164" fontId="7" fillId="6" borderId="0" xfId="2" applyNumberFormat="1" applyFont="1" applyFill="1" applyBorder="1" applyAlignment="1">
      <alignment vertical="center"/>
    </xf>
    <xf numFmtId="9" fontId="7" fillId="6" borderId="0" xfId="1" applyFont="1" applyFill="1" applyBorder="1" applyAlignment="1">
      <alignment vertical="center"/>
    </xf>
    <xf numFmtId="9" fontId="7" fillId="6" borderId="0" xfId="1" applyFont="1" applyFill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7" fillId="6" borderId="6" xfId="3" applyFont="1" applyFill="1" applyBorder="1" applyAlignment="1">
      <alignment vertical="center"/>
    </xf>
    <xf numFmtId="164" fontId="8" fillId="6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>
      <alignment horizontal="center" vertical="center"/>
    </xf>
    <xf numFmtId="0" fontId="6" fillId="7" borderId="1" xfId="3" applyFont="1" applyFill="1" applyBorder="1" applyAlignment="1">
      <alignment horizontal="left" vertical="center" wrapText="1"/>
    </xf>
    <xf numFmtId="164" fontId="6" fillId="7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7" borderId="1" xfId="2" applyNumberFormat="1" applyFont="1" applyFill="1" applyBorder="1" applyAlignment="1">
      <alignment horizontal="right" vertical="center" wrapText="1"/>
    </xf>
    <xf numFmtId="9" fontId="6" fillId="7" borderId="1" xfId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right" vertical="center" wrapText="1"/>
    </xf>
    <xf numFmtId="164" fontId="6" fillId="0" borderId="0" xfId="2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vertical="center"/>
    </xf>
    <xf numFmtId="0" fontId="9" fillId="6" borderId="6" xfId="3" applyFont="1" applyFill="1" applyBorder="1" applyAlignment="1">
      <alignment vertical="center"/>
    </xf>
    <xf numFmtId="0" fontId="6" fillId="8" borderId="7" xfId="3" applyFont="1" applyFill="1" applyBorder="1" applyAlignment="1">
      <alignment horizontal="left" vertical="center"/>
    </xf>
    <xf numFmtId="164" fontId="6" fillId="8" borderId="7" xfId="2" applyNumberFormat="1" applyFont="1" applyFill="1" applyBorder="1" applyAlignment="1">
      <alignment horizontal="left" vertical="center"/>
    </xf>
    <xf numFmtId="164" fontId="6" fillId="0" borderId="0" xfId="2" applyNumberFormat="1" applyFont="1" applyFill="1" applyBorder="1" applyAlignment="1">
      <alignment horizontal="left" vertical="center"/>
    </xf>
    <xf numFmtId="164" fontId="6" fillId="8" borderId="0" xfId="2" applyNumberFormat="1" applyFont="1" applyFill="1" applyBorder="1" applyAlignment="1">
      <alignment horizontal="left" vertical="center"/>
    </xf>
    <xf numFmtId="9" fontId="6" fillId="8" borderId="0" xfId="1" applyFont="1" applyFill="1" applyBorder="1" applyAlignment="1">
      <alignment horizontal="center" vertical="center"/>
    </xf>
    <xf numFmtId="0" fontId="9" fillId="0" borderId="0" xfId="3" applyFont="1" applyAlignment="1">
      <alignment vertical="center"/>
    </xf>
    <xf numFmtId="0" fontId="10" fillId="6" borderId="6" xfId="3" applyFont="1" applyFill="1" applyBorder="1" applyAlignment="1">
      <alignment vertical="center"/>
    </xf>
    <xf numFmtId="0" fontId="11" fillId="6" borderId="7" xfId="3" applyFont="1" applyFill="1" applyBorder="1" applyAlignment="1">
      <alignment horizontal="left" vertical="center"/>
    </xf>
    <xf numFmtId="164" fontId="7" fillId="6" borderId="7" xfId="2" applyNumberFormat="1" applyFont="1" applyFill="1" applyBorder="1" applyAlignment="1">
      <alignment horizontal="left" vertical="center"/>
    </xf>
    <xf numFmtId="164" fontId="7" fillId="0" borderId="0" xfId="2" applyNumberFormat="1" applyFont="1" applyFill="1" applyBorder="1" applyAlignment="1">
      <alignment horizontal="left" vertical="center"/>
    </xf>
    <xf numFmtId="9" fontId="7" fillId="6" borderId="7" xfId="1" applyFont="1" applyFill="1" applyBorder="1" applyAlignment="1">
      <alignment horizontal="center" vertical="center"/>
    </xf>
    <xf numFmtId="0" fontId="7" fillId="6" borderId="7" xfId="3" applyFont="1" applyFill="1" applyBorder="1" applyAlignment="1">
      <alignment vertical="center"/>
    </xf>
    <xf numFmtId="164" fontId="7" fillId="6" borderId="7" xfId="2" applyNumberFormat="1" applyFont="1" applyFill="1" applyBorder="1" applyAlignment="1">
      <alignment vertical="center"/>
    </xf>
    <xf numFmtId="164" fontId="11" fillId="6" borderId="7" xfId="2" applyNumberFormat="1" applyFont="1" applyFill="1" applyBorder="1" applyAlignment="1">
      <alignment horizontal="left" vertical="center"/>
    </xf>
    <xf numFmtId="164" fontId="11" fillId="0" borderId="0" xfId="2" applyNumberFormat="1" applyFont="1" applyFill="1" applyBorder="1" applyAlignment="1">
      <alignment horizontal="left" vertical="center"/>
    </xf>
    <xf numFmtId="9" fontId="11" fillId="6" borderId="7" xfId="1" applyFont="1" applyFill="1" applyBorder="1" applyAlignment="1">
      <alignment horizontal="center" vertical="center"/>
    </xf>
    <xf numFmtId="0" fontId="11" fillId="0" borderId="0" xfId="3" applyFont="1" applyAlignment="1">
      <alignment vertical="center"/>
    </xf>
    <xf numFmtId="0" fontId="7" fillId="6" borderId="7" xfId="3" applyFont="1" applyFill="1" applyBorder="1" applyAlignment="1">
      <alignment horizontal="left" vertical="center"/>
    </xf>
    <xf numFmtId="164" fontId="7" fillId="0" borderId="7" xfId="2" applyNumberFormat="1" applyFont="1" applyFill="1" applyBorder="1" applyAlignment="1">
      <alignment horizontal="left" vertical="center"/>
    </xf>
    <xf numFmtId="9" fontId="7" fillId="0" borderId="7" xfId="1" applyFont="1" applyFill="1" applyBorder="1" applyAlignment="1">
      <alignment horizontal="center" vertical="center"/>
    </xf>
    <xf numFmtId="0" fontId="12" fillId="6" borderId="7" xfId="3" applyFont="1" applyFill="1" applyBorder="1" applyAlignment="1">
      <alignment horizontal="left" vertical="center"/>
    </xf>
    <xf numFmtId="164" fontId="12" fillId="0" borderId="0" xfId="2" applyNumberFormat="1" applyFont="1" applyFill="1" applyBorder="1" applyAlignment="1">
      <alignment horizontal="left" vertical="center"/>
    </xf>
    <xf numFmtId="0" fontId="12" fillId="0" borderId="0" xfId="3" applyFont="1" applyAlignment="1">
      <alignment vertical="center"/>
    </xf>
    <xf numFmtId="164" fontId="12" fillId="6" borderId="7" xfId="2" applyNumberFormat="1" applyFont="1" applyFill="1" applyBorder="1" applyAlignment="1">
      <alignment horizontal="left" vertical="center"/>
    </xf>
    <xf numFmtId="0" fontId="13" fillId="6" borderId="6" xfId="3" applyFont="1" applyFill="1" applyBorder="1" applyAlignment="1">
      <alignment vertical="center"/>
    </xf>
    <xf numFmtId="0" fontId="14" fillId="0" borderId="0" xfId="3" applyFont="1" applyAlignment="1">
      <alignment vertical="center"/>
    </xf>
    <xf numFmtId="0" fontId="15" fillId="8" borderId="7" xfId="3" applyFont="1" applyFill="1" applyBorder="1" applyAlignment="1">
      <alignment horizontal="left" vertical="center"/>
    </xf>
    <xf numFmtId="164" fontId="15" fillId="8" borderId="7" xfId="2" applyNumberFormat="1" applyFont="1" applyFill="1" applyBorder="1" applyAlignment="1">
      <alignment horizontal="left" vertical="center"/>
    </xf>
    <xf numFmtId="164" fontId="15" fillId="0" borderId="0" xfId="2" applyNumberFormat="1" applyFont="1" applyFill="1" applyBorder="1" applyAlignment="1">
      <alignment horizontal="left" vertical="center"/>
    </xf>
    <xf numFmtId="9" fontId="15" fillId="8" borderId="7" xfId="1" applyFont="1" applyFill="1" applyBorder="1" applyAlignment="1">
      <alignment horizontal="center" vertical="center"/>
    </xf>
    <xf numFmtId="0" fontId="14" fillId="6" borderId="0" xfId="3" applyFont="1" applyFill="1" applyAlignment="1">
      <alignment vertical="center"/>
    </xf>
    <xf numFmtId="43" fontId="16" fillId="6" borderId="0" xfId="2" applyFont="1" applyFill="1" applyBorder="1" applyAlignment="1">
      <alignment horizontal="right" vertical="center"/>
    </xf>
    <xf numFmtId="164" fontId="16" fillId="6" borderId="0" xfId="2" applyNumberFormat="1" applyFont="1" applyFill="1" applyBorder="1" applyAlignment="1">
      <alignment horizontal="right" vertical="center"/>
    </xf>
    <xf numFmtId="164" fontId="16" fillId="0" borderId="0" xfId="2" applyNumberFormat="1" applyFont="1" applyFill="1" applyBorder="1" applyAlignment="1">
      <alignment horizontal="right" vertical="center"/>
    </xf>
    <xf numFmtId="9" fontId="16" fillId="6" borderId="0" xfId="1" applyFont="1" applyFill="1" applyBorder="1" applyAlignment="1">
      <alignment horizontal="center" vertical="center"/>
    </xf>
    <xf numFmtId="0" fontId="16" fillId="0" borderId="0" xfId="3" applyFont="1" applyAlignment="1">
      <alignment vertical="center"/>
    </xf>
    <xf numFmtId="164" fontId="9" fillId="0" borderId="0" xfId="2" applyNumberFormat="1" applyFont="1" applyFill="1" applyBorder="1" applyAlignment="1">
      <alignment horizontal="center" vertical="center"/>
    </xf>
    <xf numFmtId="9" fontId="9" fillId="0" borderId="0" xfId="1" applyFont="1" applyFill="1" applyBorder="1" applyAlignment="1">
      <alignment horizontal="center" vertical="center"/>
    </xf>
    <xf numFmtId="0" fontId="6" fillId="6" borderId="0" xfId="3" applyFont="1" applyFill="1" applyAlignment="1">
      <alignment horizontal="left" vertical="center" wrapText="1"/>
    </xf>
    <xf numFmtId="9" fontId="6" fillId="0" borderId="0" xfId="1" applyFont="1" applyFill="1" applyBorder="1" applyAlignment="1">
      <alignment horizontal="center" vertical="center" wrapText="1"/>
    </xf>
    <xf numFmtId="9" fontId="6" fillId="0" borderId="1" xfId="1" applyFont="1" applyFill="1" applyBorder="1" applyAlignment="1">
      <alignment horizontal="center" vertical="center" wrapText="1"/>
    </xf>
    <xf numFmtId="0" fontId="13" fillId="0" borderId="0" xfId="3" applyFont="1" applyAlignment="1">
      <alignment vertical="center"/>
    </xf>
    <xf numFmtId="0" fontId="11" fillId="6" borderId="7" xfId="3" applyFont="1" applyFill="1" applyBorder="1" applyAlignment="1">
      <alignment horizontal="left" vertical="center" wrapText="1"/>
    </xf>
    <xf numFmtId="164" fontId="11" fillId="6" borderId="7" xfId="2" applyNumberFormat="1" applyFont="1" applyFill="1" applyBorder="1" applyAlignment="1">
      <alignment horizontal="left" vertical="center" wrapText="1"/>
    </xf>
    <xf numFmtId="164" fontId="11" fillId="0" borderId="0" xfId="2" applyNumberFormat="1" applyFont="1" applyFill="1" applyBorder="1" applyAlignment="1">
      <alignment horizontal="left" vertical="center" wrapText="1"/>
    </xf>
    <xf numFmtId="9" fontId="11" fillId="6" borderId="7" xfId="1" applyFont="1" applyFill="1" applyBorder="1" applyAlignment="1">
      <alignment horizontal="center" vertical="center" wrapText="1"/>
    </xf>
    <xf numFmtId="9" fontId="11" fillId="0" borderId="0" xfId="1" applyFont="1" applyFill="1" applyBorder="1" applyAlignment="1">
      <alignment horizontal="center" vertical="center" wrapText="1"/>
    </xf>
    <xf numFmtId="0" fontId="7" fillId="6" borderId="7" xfId="3" applyFont="1" applyFill="1" applyBorder="1" applyAlignment="1">
      <alignment horizontal="left" vertical="center" wrapText="1"/>
    </xf>
    <xf numFmtId="164" fontId="7" fillId="6" borderId="7" xfId="2" applyNumberFormat="1" applyFont="1" applyFill="1" applyBorder="1" applyAlignment="1">
      <alignment horizontal="left" vertical="center" wrapText="1"/>
    </xf>
    <xf numFmtId="164" fontId="7" fillId="0" borderId="0" xfId="2" applyNumberFormat="1" applyFont="1" applyFill="1" applyBorder="1" applyAlignment="1">
      <alignment horizontal="left" vertical="center" wrapText="1"/>
    </xf>
    <xf numFmtId="164" fontId="7" fillId="0" borderId="7" xfId="2" applyNumberFormat="1" applyFont="1" applyFill="1" applyBorder="1" applyAlignment="1">
      <alignment horizontal="left" vertical="center" wrapText="1"/>
    </xf>
    <xf numFmtId="9" fontId="7" fillId="0" borderId="7" xfId="1" applyFont="1" applyFill="1" applyBorder="1" applyAlignment="1">
      <alignment horizontal="center" vertical="center" wrapText="1"/>
    </xf>
    <xf numFmtId="9" fontId="7" fillId="0" borderId="0" xfId="1" applyFont="1" applyFill="1" applyBorder="1" applyAlignment="1">
      <alignment horizontal="center" vertical="center" wrapText="1"/>
    </xf>
    <xf numFmtId="164" fontId="7" fillId="0" borderId="0" xfId="2" applyNumberFormat="1" applyFont="1" applyFill="1" applyBorder="1" applyAlignment="1">
      <alignment horizontal="center" vertical="center"/>
    </xf>
    <xf numFmtId="164" fontId="7" fillId="0" borderId="7" xfId="2" applyNumberFormat="1" applyFont="1" applyFill="1" applyBorder="1" applyAlignment="1">
      <alignment vertical="center"/>
    </xf>
    <xf numFmtId="9" fontId="7" fillId="0" borderId="0" xfId="1" applyFont="1" applyFill="1" applyBorder="1" applyAlignment="1">
      <alignment horizontal="center" vertical="center"/>
    </xf>
    <xf numFmtId="164" fontId="11" fillId="0" borderId="7" xfId="2" applyNumberFormat="1" applyFont="1" applyFill="1" applyBorder="1" applyAlignment="1">
      <alignment horizontal="left" vertical="center" wrapText="1"/>
    </xf>
    <xf numFmtId="9" fontId="11" fillId="0" borderId="7" xfId="1" applyFont="1" applyFill="1" applyBorder="1" applyAlignment="1">
      <alignment horizontal="center" vertical="center" wrapText="1"/>
    </xf>
    <xf numFmtId="0" fontId="12" fillId="6" borderId="7" xfId="3" applyFont="1" applyFill="1" applyBorder="1" applyAlignment="1">
      <alignment horizontal="left" vertical="center" wrapText="1" indent="1"/>
    </xf>
    <xf numFmtId="0" fontId="12" fillId="6" borderId="7" xfId="3" applyFont="1" applyFill="1" applyBorder="1" applyAlignment="1">
      <alignment horizontal="left" vertical="center" wrapText="1" indent="2"/>
    </xf>
    <xf numFmtId="164" fontId="15" fillId="6" borderId="7" xfId="2" applyNumberFormat="1" applyFont="1" applyFill="1" applyBorder="1" applyAlignment="1">
      <alignment horizontal="right" vertical="center"/>
    </xf>
    <xf numFmtId="164" fontId="15" fillId="0" borderId="0" xfId="2" applyNumberFormat="1" applyFont="1" applyFill="1" applyBorder="1" applyAlignment="1">
      <alignment horizontal="right" vertical="center"/>
    </xf>
    <xf numFmtId="164" fontId="15" fillId="0" borderId="7" xfId="2" applyNumberFormat="1" applyFont="1" applyFill="1" applyBorder="1" applyAlignment="1">
      <alignment horizontal="right" vertical="center"/>
    </xf>
    <xf numFmtId="9" fontId="15" fillId="0" borderId="7" xfId="1" applyFont="1" applyFill="1" applyBorder="1" applyAlignment="1">
      <alignment horizontal="center" vertical="center"/>
    </xf>
    <xf numFmtId="9" fontId="15" fillId="0" borderId="0" xfId="1" applyFont="1" applyFill="1" applyBorder="1" applyAlignment="1">
      <alignment horizontal="center" vertical="center"/>
    </xf>
    <xf numFmtId="0" fontId="7" fillId="0" borderId="7" xfId="3" applyFont="1" applyBorder="1" applyAlignment="1">
      <alignment horizontal="left" vertical="center" wrapText="1"/>
    </xf>
    <xf numFmtId="0" fontId="16" fillId="6" borderId="0" xfId="3" applyFont="1" applyFill="1" applyAlignment="1">
      <alignment vertical="center"/>
    </xf>
    <xf numFmtId="164" fontId="16" fillId="0" borderId="0" xfId="2" applyNumberFormat="1" applyFont="1" applyFill="1" applyBorder="1" applyAlignment="1">
      <alignment horizontal="center" vertical="center"/>
    </xf>
    <xf numFmtId="9" fontId="16" fillId="0" borderId="0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2" applyNumberFormat="1" applyFont="1"/>
    <xf numFmtId="164" fontId="0" fillId="0" borderId="0" xfId="2" applyNumberFormat="1" applyFont="1" applyAlignment="1">
      <alignment vertical="center"/>
    </xf>
    <xf numFmtId="0" fontId="1" fillId="0" borderId="0" xfId="2" applyNumberFormat="1" applyFont="1" applyBorder="1" applyAlignment="1">
      <alignment horizontal="left" vertical="center"/>
    </xf>
    <xf numFmtId="165" fontId="0" fillId="0" borderId="0" xfId="0" applyNumberFormat="1" applyAlignment="1">
      <alignment horizontal="right" vertical="center"/>
    </xf>
    <xf numFmtId="0" fontId="2" fillId="0" borderId="0" xfId="2" applyNumberFormat="1" applyFont="1" applyFill="1" applyBorder="1" applyAlignment="1">
      <alignment horizontal="left" vertical="center"/>
    </xf>
    <xf numFmtId="14" fontId="0" fillId="0" borderId="0" xfId="0" applyNumberForma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2" applyNumberFormat="1" applyFont="1" applyFill="1" applyAlignment="1">
      <alignment vertical="center"/>
    </xf>
    <xf numFmtId="0" fontId="2" fillId="0" borderId="0" xfId="2" applyNumberFormat="1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164" fontId="19" fillId="0" borderId="8" xfId="2" applyNumberFormat="1" applyFont="1" applyFill="1" applyBorder="1" applyAlignment="1">
      <alignment vertical="center"/>
    </xf>
    <xf numFmtId="164" fontId="20" fillId="0" borderId="0" xfId="2" applyNumberFormat="1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2" xfId="2" applyNumberFormat="1" applyFont="1" applyBorder="1" applyAlignment="1">
      <alignment vertical="center"/>
    </xf>
    <xf numFmtId="0" fontId="6" fillId="0" borderId="1" xfId="3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vertical="center"/>
    </xf>
    <xf numFmtId="164" fontId="2" fillId="0" borderId="1" xfId="2" applyNumberFormat="1" applyFont="1" applyBorder="1" applyAlignment="1">
      <alignment horizontal="center" vertical="center" wrapText="1"/>
    </xf>
    <xf numFmtId="164" fontId="2" fillId="0" borderId="2" xfId="2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" fontId="4" fillId="0" borderId="0" xfId="0" applyNumberFormat="1" applyFont="1" applyAlignment="1">
      <alignment horizontal="center"/>
    </xf>
    <xf numFmtId="49" fontId="4" fillId="0" borderId="0" xfId="0" applyNumberFormat="1" applyFont="1"/>
    <xf numFmtId="164" fontId="0" fillId="0" borderId="0" xfId="2" applyNumberFormat="1" applyFont="1" applyFill="1"/>
    <xf numFmtId="164" fontId="4" fillId="0" borderId="0" xfId="2" applyNumberFormat="1" applyFont="1" applyFill="1"/>
    <xf numFmtId="0" fontId="4" fillId="0" borderId="0" xfId="2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4" fontId="7" fillId="0" borderId="0" xfId="2" applyNumberFormat="1" applyFont="1" applyFill="1" applyAlignment="1">
      <alignment horizontal="right" vertical="center"/>
    </xf>
    <xf numFmtId="0" fontId="7" fillId="0" borderId="0" xfId="3" applyFont="1" applyAlignment="1">
      <alignment horizontal="left" vertical="center"/>
    </xf>
    <xf numFmtId="0" fontId="7" fillId="0" borderId="0" xfId="0" applyFont="1" applyAlignment="1">
      <alignment horizontal="center"/>
    </xf>
    <xf numFmtId="0" fontId="1" fillId="0" borderId="0" xfId="2" applyNumberFormat="1" applyFont="1" applyFill="1" applyBorder="1" applyAlignment="1">
      <alignment horizontal="left" vertical="center"/>
    </xf>
    <xf numFmtId="164" fontId="0" fillId="0" borderId="0" xfId="2" applyNumberFormat="1" applyFont="1" applyFill="1" applyAlignment="1">
      <alignment horizontal="center"/>
    </xf>
    <xf numFmtId="43" fontId="0" fillId="0" borderId="0" xfId="0" applyNumberFormat="1"/>
    <xf numFmtId="164" fontId="0" fillId="0" borderId="0" xfId="2" applyNumberFormat="1" applyFont="1" applyFill="1" applyAlignment="1"/>
    <xf numFmtId="164" fontId="4" fillId="0" borderId="0" xfId="2" applyNumberFormat="1" applyFont="1" applyFill="1" applyAlignment="1"/>
    <xf numFmtId="0" fontId="4" fillId="5" borderId="0" xfId="2" applyNumberFormat="1" applyFont="1" applyFill="1" applyBorder="1" applyAlignment="1">
      <alignment horizontal="left" vertical="center"/>
    </xf>
    <xf numFmtId="0" fontId="7" fillId="0" borderId="0" xfId="3" applyFont="1" applyAlignment="1">
      <alignment horizontal="left" vertical="center" wrapText="1"/>
    </xf>
    <xf numFmtId="164" fontId="0" fillId="0" borderId="0" xfId="2" applyNumberFormat="1" applyFont="1" applyFill="1" applyAlignment="1">
      <alignment vertical="center"/>
    </xf>
    <xf numFmtId="1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7" fillId="0" borderId="0" xfId="3" applyFont="1" applyAlignment="1">
      <alignment vertical="center" wrapText="1"/>
    </xf>
    <xf numFmtId="164" fontId="0" fillId="0" borderId="0" xfId="0" applyNumberFormat="1"/>
    <xf numFmtId="1" fontId="4" fillId="0" borderId="2" xfId="0" applyNumberFormat="1" applyFont="1" applyBorder="1" applyAlignment="1">
      <alignment horizontal="center"/>
    </xf>
    <xf numFmtId="49" fontId="4" fillId="0" borderId="2" xfId="0" applyNumberFormat="1" applyFont="1" applyBorder="1"/>
    <xf numFmtId="164" fontId="0" fillId="0" borderId="2" xfId="2" applyNumberFormat="1" applyFont="1" applyFill="1" applyBorder="1"/>
    <xf numFmtId="164" fontId="4" fillId="0" borderId="2" xfId="2" applyNumberFormat="1" applyFont="1" applyFill="1" applyBorder="1"/>
    <xf numFmtId="0" fontId="4" fillId="0" borderId="2" xfId="2" applyNumberFormat="1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164" fontId="0" fillId="0" borderId="0" xfId="2" applyNumberFormat="1" applyFont="1" applyFill="1" applyBorder="1"/>
    <xf numFmtId="164" fontId="4" fillId="0" borderId="0" xfId="2" applyNumberFormat="1" applyFont="1" applyFill="1" applyBorder="1"/>
    <xf numFmtId="3" fontId="2" fillId="4" borderId="4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2" fillId="4" borderId="5" xfId="0" applyNumberFormat="1" applyFont="1" applyFill="1" applyBorder="1" applyAlignment="1">
      <alignment horizontal="center" vertical="center"/>
    </xf>
  </cellXfs>
  <cellStyles count="4">
    <cellStyle name="Comma" xfId="2" builtinId="3"/>
    <cellStyle name="Normal" xfId="0" builtinId="0"/>
    <cellStyle name="Normale 2" xfId="3" xr:uid="{F235D9DF-8AA7-4988-A927-5FA1F81E3B4F}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582930</xdr:colOff>
      <xdr:row>2</xdr:row>
      <xdr:rowOff>9524</xdr:rowOff>
    </xdr:from>
    <xdr:to>
      <xdr:col>16</xdr:col>
      <xdr:colOff>171450</xdr:colOff>
      <xdr:row>27</xdr:row>
      <xdr:rowOff>70484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2C7364A-2320-1E35-3A7E-B9805EA1E283}"/>
            </a:ext>
          </a:extLst>
        </xdr:cNvPr>
        <xdr:cNvSpPr txBox="1"/>
      </xdr:nvSpPr>
      <xdr:spPr>
        <a:xfrm>
          <a:off x="582930" y="371474"/>
          <a:ext cx="9342120" cy="45853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it-IT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Attività aziendale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u="sng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Delta è un’azienda molitoria nata nel 1803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fondata dai fratelli Giuseppe, Francesco e Pietro nella regione Lombardia.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Battista P. acquista la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proprietà dell’immobile del molino e dei terreni annessi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nel 1921. Vengono acquistati laminatoi, camion, molini automatici, silos, laboratori di analisi, diversi computer e macchinari innovativi. Negli anni Cinquanta, si trasforma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 azienda artigiana in industria moderna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Oggi Delta è un’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azienda molitoria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che ha oltre 200 anni di storia e che ha sempre scelto di lavorare nel segno dell’innovazione e nel rispetto della tradizione.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Dotata di macchinari di ultima generazione, Delta è in grado di macinare 550 tonnellate di grano al giorno . Questo anche grazie al nuovo investimento effettuato nell’anno N: la Società ha acquistato due laminatoi all’avanguardia i quali hanno permesso la macinazione di una quantità superiore di grano (circa 115 quintali all’ora contro i precedenti 85) con un risparmio energico. </a:t>
          </a: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realizzare le sue farine, Delta ha sempre puntato su grani  selezionati, privilegiando i produttori locali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che garantiscono sostenibilità ambientale e un controllo diretto sulle produzioni. I fornitori di grano comunque rispondere a standard produttivi particolarmente elevati.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Nei laboratori della Società un </a:t>
          </a:r>
          <a:r>
            <a:rPr lang="it-IT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team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 tecnici sperimenta nuove miscele di grani diversi, testa le ricette e lavora per perfezionare e monitorare tutti i prodotti successivamente commercializzati. Attraverso costanti analisi fisiche e microbiologiche dei campioni di farine e di grani, la qualità e l’igienicità delle farine è sempre garantita.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 un’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ampia gamma di linee e prodotti, il molino risponde alle richieste di una clientela vasta ed eterogenea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che comprende la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grande industria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gli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artigiani panificatori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pizzerie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pasticcerie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la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grande distribuzione organizzata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 i </a:t>
          </a:r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grossisti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Negli ultimi anni Delta sta lavorando per mettere sul mercato nuovi prodotti che racchiudono ricerca e recupero delle tradizioni, maggior valore nutritivo e di gusto, come le farine macinate a pietra della linea Isola P.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numero medio di dipendenti al 31/12/N-1 risulta pari 33, di cui n. 2 dirigenti, 11 impiegati e n. 16 operai e 4 dipendenti appartenenti a categorie residuali.</a:t>
          </a: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fatturato al 31/12/N-1 risulta pari a circa Euro 36 milioni, con un risultato d’esercizio pari ad Euro 500 mila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Società redige il bilancio ordinario.</a:t>
          </a:r>
        </a:p>
        <a:p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388620</xdr:colOff>
      <xdr:row>11</xdr:row>
      <xdr:rowOff>59055</xdr:rowOff>
    </xdr:from>
    <xdr:to>
      <xdr:col>11</xdr:col>
      <xdr:colOff>655320</xdr:colOff>
      <xdr:row>14</xdr:row>
      <xdr:rowOff>55245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id="{AD6674A1-2205-4B58-99DD-4123C3E437D1}"/>
            </a:ext>
          </a:extLst>
        </xdr:cNvPr>
        <xdr:cNvSpPr/>
      </xdr:nvSpPr>
      <xdr:spPr>
        <a:xfrm>
          <a:off x="7360920" y="2253615"/>
          <a:ext cx="266700" cy="544830"/>
        </a:xfrm>
        <a:prstGeom prst="downArrow">
          <a:avLst/>
        </a:prstGeom>
      </xdr:spPr>
      <xdr:style>
        <a:lnRef idx="2">
          <a:schemeClr val="accent3">
            <a:shade val="15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388620</xdr:colOff>
      <xdr:row>11</xdr:row>
      <xdr:rowOff>59055</xdr:rowOff>
    </xdr:from>
    <xdr:to>
      <xdr:col>11</xdr:col>
      <xdr:colOff>655320</xdr:colOff>
      <xdr:row>14</xdr:row>
      <xdr:rowOff>55245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id="{CE34960B-962F-48B7-B61B-04E4BBE77ADD}"/>
            </a:ext>
          </a:extLst>
        </xdr:cNvPr>
        <xdr:cNvSpPr/>
      </xdr:nvSpPr>
      <xdr:spPr>
        <a:xfrm>
          <a:off x="7360920" y="2253615"/>
          <a:ext cx="266700" cy="544830"/>
        </a:xfrm>
        <a:prstGeom prst="downArrow">
          <a:avLst/>
        </a:prstGeom>
      </xdr:spPr>
      <xdr:style>
        <a:lnRef idx="2">
          <a:schemeClr val="accent3">
            <a:shade val="15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4EB9-BFEF-49FB-BDB9-9FA852BC963F}">
  <dimension ref="A1"/>
  <sheetViews>
    <sheetView workbookViewId="0">
      <selection activeCell="G6" sqref="G6"/>
    </sheetView>
  </sheetViews>
  <sheetFormatPr defaultRowHeight="14.4" x14ac:dyDescent="0.3"/>
  <sheetData>
    <row r="1" spans="1:1" x14ac:dyDescent="0.3">
      <c r="A1" s="34" t="s">
        <v>21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C4BFF-726B-4453-AF3D-0C770585E03A}">
  <dimension ref="A1:W102"/>
  <sheetViews>
    <sheetView showGridLines="0" zoomScale="87" zoomScaleNormal="87" workbookViewId="0">
      <pane xSplit="1" ySplit="3" topLeftCell="B4" activePane="bottomRight" state="frozen"/>
      <selection activeCell="P5" sqref="P5"/>
      <selection pane="topRight" activeCell="P5" sqref="P5"/>
      <selection pane="bottomLeft" activeCell="P5" sqref="P5"/>
      <selection pane="bottomRight"/>
    </sheetView>
  </sheetViews>
  <sheetFormatPr defaultRowHeight="14.4" x14ac:dyDescent="0.3"/>
  <cols>
    <col min="1" max="1" width="11.33203125" style="35" customWidth="1"/>
    <col min="2" max="2" width="49.88671875" style="35" customWidth="1"/>
    <col min="3" max="3" width="14.5546875" style="36" customWidth="1"/>
    <col min="4" max="4" width="2.5546875" style="37" customWidth="1"/>
    <col min="5" max="6" width="13.44140625" style="38" hidden="1" customWidth="1"/>
    <col min="7" max="7" width="4.6640625" style="37" hidden="1" customWidth="1"/>
    <col min="8" max="8" width="11.44140625" style="36" hidden="1" customWidth="1"/>
    <col min="9" max="9" width="13.88671875" style="38" hidden="1" customWidth="1"/>
    <col min="10" max="10" width="12.6640625" style="38" hidden="1" customWidth="1"/>
    <col min="11" max="11" width="12.6640625" style="40" hidden="1" customWidth="1"/>
    <col min="12" max="12" width="4" style="37" hidden="1" customWidth="1"/>
    <col min="13" max="13" width="13.44140625" style="38" customWidth="1"/>
    <col min="14" max="14" width="2.5546875" style="37" customWidth="1"/>
    <col min="15" max="15" width="13.44140625" style="38" hidden="1" customWidth="1"/>
    <col min="16" max="16" width="13.44140625" style="38" customWidth="1"/>
    <col min="17" max="23" width="13.44140625" style="37" customWidth="1"/>
    <col min="24" max="16384" width="8.88671875" style="41"/>
  </cols>
  <sheetData>
    <row r="1" spans="1:23" x14ac:dyDescent="0.3">
      <c r="A1" s="34" t="s">
        <v>21</v>
      </c>
      <c r="I1" s="39"/>
    </row>
    <row r="2" spans="1:23" ht="7.8" customHeight="1" x14ac:dyDescent="0.3">
      <c r="A2" s="42"/>
      <c r="E2" s="43" t="s">
        <v>22</v>
      </c>
      <c r="M2" s="43"/>
      <c r="N2" s="44"/>
      <c r="O2" s="43"/>
    </row>
    <row r="3" spans="1:23" s="52" customFormat="1" ht="28.8" x14ac:dyDescent="0.3">
      <c r="A3" s="34"/>
      <c r="B3" s="45" t="s">
        <v>23</v>
      </c>
      <c r="C3" s="46" t="s">
        <v>24</v>
      </c>
      <c r="D3" s="47"/>
      <c r="E3" s="46" t="s">
        <v>25</v>
      </c>
      <c r="F3" s="46" t="s">
        <v>26</v>
      </c>
      <c r="G3" s="47"/>
      <c r="H3" s="46" t="s">
        <v>27</v>
      </c>
      <c r="I3" s="46" t="s">
        <v>28</v>
      </c>
      <c r="J3" s="48" t="s">
        <v>29</v>
      </c>
      <c r="K3" s="49" t="s">
        <v>30</v>
      </c>
      <c r="L3" s="50"/>
      <c r="M3" s="46" t="s">
        <v>31</v>
      </c>
      <c r="N3" s="47"/>
      <c r="O3" s="46" t="s">
        <v>32</v>
      </c>
      <c r="P3" s="46" t="s">
        <v>33</v>
      </c>
      <c r="Q3" s="51"/>
      <c r="R3" s="51"/>
      <c r="S3" s="51"/>
      <c r="T3" s="51"/>
      <c r="U3" s="51"/>
      <c r="V3" s="51"/>
      <c r="W3" s="51"/>
    </row>
    <row r="4" spans="1:23" s="59" customFormat="1" x14ac:dyDescent="0.3">
      <c r="A4" s="53"/>
      <c r="B4" s="54" t="s">
        <v>34</v>
      </c>
      <c r="C4" s="55">
        <f>C7+C15+C22+C29+C36+C50+C55+C47</f>
        <v>38807610.339999996</v>
      </c>
      <c r="D4" s="56"/>
      <c r="E4" s="55">
        <v>38807611</v>
      </c>
      <c r="F4" s="57">
        <f>E4-C4</f>
        <v>0.66000000387430191</v>
      </c>
      <c r="G4" s="56"/>
      <c r="H4" s="55">
        <f>C4</f>
        <v>38807610.339999996</v>
      </c>
      <c r="I4" s="55">
        <f>I7+I15+I22+I29+I36+I50+I55+I47</f>
        <v>42516236.699999996</v>
      </c>
      <c r="J4" s="57">
        <f>H4-I4</f>
        <v>-3708626.3599999994</v>
      </c>
      <c r="K4" s="58">
        <f>IFERROR(J4/I4,"")</f>
        <v>-8.722847194046221E-2</v>
      </c>
      <c r="L4" s="56"/>
      <c r="M4" s="55">
        <f>M7+M15+M22+M29+M36+M50+M55+M47</f>
        <v>44106576</v>
      </c>
      <c r="N4" s="56"/>
      <c r="O4" s="57">
        <f>+M4-I4</f>
        <v>1590339.3000000045</v>
      </c>
      <c r="P4" s="57">
        <f>P7+P15+P22+P29+P36+P50+P55+P47</f>
        <v>33381312</v>
      </c>
      <c r="Q4" s="56"/>
      <c r="R4" s="56"/>
      <c r="S4" s="56"/>
      <c r="T4" s="56"/>
      <c r="U4" s="56"/>
      <c r="V4" s="56"/>
      <c r="W4" s="56"/>
    </row>
    <row r="5" spans="1:23" x14ac:dyDescent="0.3">
      <c r="A5" s="60">
        <v>1</v>
      </c>
      <c r="B5" s="61" t="s">
        <v>35</v>
      </c>
      <c r="C5" s="62">
        <f>SUMIF('Leadsheet 31.12'!G:G,'Stato patrimoniale'!B5,'Leadsheet 31.12'!D:D)</f>
        <v>0</v>
      </c>
      <c r="D5" s="63"/>
      <c r="E5" s="62"/>
      <c r="F5" s="62">
        <f>E5-C5</f>
        <v>0</v>
      </c>
      <c r="G5" s="63"/>
      <c r="H5" s="62">
        <f>C5</f>
        <v>0</v>
      </c>
      <c r="I5" s="62">
        <f>SUMIF('Leadsheet 31.12'!G:G,'Stato patrimoniale'!B5,'Leadsheet 31.12'!E:E)</f>
        <v>0</v>
      </c>
      <c r="J5" s="62">
        <f t="shared" ref="J5:J69" si="0">H5-I5</f>
        <v>0</v>
      </c>
      <c r="K5" s="64" t="str">
        <f t="shared" ref="K5:K70" si="1">IFERROR(J5/I5,"")</f>
        <v/>
      </c>
      <c r="L5" s="63"/>
      <c r="M5" s="62">
        <v>0</v>
      </c>
      <c r="N5" s="63"/>
      <c r="O5" s="62">
        <f>+M5-I5</f>
        <v>0</v>
      </c>
      <c r="P5" s="62">
        <v>0</v>
      </c>
      <c r="Q5" s="63"/>
      <c r="R5" s="63"/>
      <c r="S5" s="63"/>
      <c r="T5" s="63"/>
      <c r="U5" s="63"/>
      <c r="V5" s="63"/>
      <c r="W5" s="63"/>
    </row>
    <row r="6" spans="1:23" hidden="1" x14ac:dyDescent="0.3">
      <c r="A6" s="60"/>
      <c r="B6" s="65"/>
      <c r="C6" s="66"/>
      <c r="E6" s="66"/>
      <c r="F6" s="66"/>
      <c r="H6" s="66"/>
      <c r="I6" s="66"/>
      <c r="J6" s="66"/>
      <c r="K6" s="64"/>
      <c r="M6" s="66"/>
      <c r="O6" s="66"/>
      <c r="P6" s="66"/>
    </row>
    <row r="7" spans="1:23" s="70" customFormat="1" x14ac:dyDescent="0.3">
      <c r="A7" s="60">
        <v>3</v>
      </c>
      <c r="B7" s="61" t="s">
        <v>36</v>
      </c>
      <c r="C7" s="67">
        <f>SUM(C8:C13)</f>
        <v>20498.809999999976</v>
      </c>
      <c r="D7" s="68"/>
      <c r="E7" s="67">
        <v>20499</v>
      </c>
      <c r="F7" s="67">
        <f t="shared" ref="F7:F13" si="2">E7-C7</f>
        <v>0.19000000002415618</v>
      </c>
      <c r="G7" s="68"/>
      <c r="H7" s="67">
        <f t="shared" ref="H7:H13" si="3">C7</f>
        <v>20498.809999999976</v>
      </c>
      <c r="I7" s="67">
        <f>SUM(I8:I13)</f>
        <v>43557.109999999993</v>
      </c>
      <c r="J7" s="67">
        <f t="shared" si="0"/>
        <v>-23058.300000000017</v>
      </c>
      <c r="K7" s="69">
        <f t="shared" si="1"/>
        <v>-0.5293808519435752</v>
      </c>
      <c r="L7" s="68"/>
      <c r="M7" s="67">
        <v>43558</v>
      </c>
      <c r="N7" s="68"/>
      <c r="O7" s="67">
        <f t="shared" ref="O7:O13" si="4">+M7-I7</f>
        <v>0.89000000000669388</v>
      </c>
      <c r="P7" s="67">
        <v>68664</v>
      </c>
      <c r="Q7" s="68"/>
      <c r="R7" s="68"/>
      <c r="S7" s="68"/>
      <c r="T7" s="68"/>
      <c r="U7" s="68"/>
      <c r="V7" s="68"/>
      <c r="W7" s="68"/>
    </row>
    <row r="8" spans="1:23" hidden="1" x14ac:dyDescent="0.3">
      <c r="A8" s="60">
        <v>4</v>
      </c>
      <c r="B8" s="71" t="s">
        <v>37</v>
      </c>
      <c r="C8" s="62">
        <f>SUMIF('Leadsheet 31.12'!G:G,'Stato patrimoniale'!B8,'Leadsheet 31.12'!D:D)</f>
        <v>0</v>
      </c>
      <c r="D8" s="63"/>
      <c r="E8" s="62">
        <v>0</v>
      </c>
      <c r="F8" s="62">
        <f t="shared" si="2"/>
        <v>0</v>
      </c>
      <c r="G8" s="63"/>
      <c r="H8" s="62">
        <f t="shared" si="3"/>
        <v>0</v>
      </c>
      <c r="I8" s="62">
        <f>SUMIF('Leadsheet 31.12'!G:G,'Stato patrimoniale'!B8,'Leadsheet 31.12'!E:E)</f>
        <v>0</v>
      </c>
      <c r="J8" s="62">
        <f t="shared" si="0"/>
        <v>0</v>
      </c>
      <c r="K8" s="64" t="str">
        <f t="shared" si="1"/>
        <v/>
      </c>
      <c r="L8" s="63"/>
      <c r="M8" s="62">
        <v>0</v>
      </c>
      <c r="N8" s="63"/>
      <c r="O8" s="62">
        <f t="shared" si="4"/>
        <v>0</v>
      </c>
      <c r="P8" s="62">
        <v>0</v>
      </c>
      <c r="Q8" s="63"/>
      <c r="R8" s="63"/>
      <c r="S8" s="63"/>
      <c r="T8" s="63"/>
      <c r="U8" s="63"/>
      <c r="V8" s="63"/>
      <c r="W8" s="63"/>
    </row>
    <row r="9" spans="1:23" hidden="1" x14ac:dyDescent="0.3">
      <c r="A9" s="60">
        <v>5</v>
      </c>
      <c r="B9" s="71" t="s">
        <v>38</v>
      </c>
      <c r="C9" s="62">
        <f>SUMIF('Leadsheet 31.12'!G:G,'Stato patrimoniale'!B9,'Leadsheet 31.12'!D:D)</f>
        <v>0</v>
      </c>
      <c r="D9" s="63"/>
      <c r="E9" s="62">
        <v>0</v>
      </c>
      <c r="F9" s="62">
        <f t="shared" si="2"/>
        <v>0</v>
      </c>
      <c r="G9" s="63"/>
      <c r="H9" s="62">
        <f t="shared" si="3"/>
        <v>0</v>
      </c>
      <c r="I9" s="62">
        <f>SUMIF('Leadsheet 31.12'!G:G,'Stato patrimoniale'!B9,'Leadsheet 31.12'!E:E)</f>
        <v>0</v>
      </c>
      <c r="J9" s="62">
        <f t="shared" si="0"/>
        <v>0</v>
      </c>
      <c r="K9" s="64" t="str">
        <f t="shared" si="1"/>
        <v/>
      </c>
      <c r="L9" s="63"/>
      <c r="M9" s="62">
        <v>0</v>
      </c>
      <c r="N9" s="63"/>
      <c r="O9" s="62">
        <f t="shared" si="4"/>
        <v>0</v>
      </c>
      <c r="P9" s="62">
        <v>0</v>
      </c>
      <c r="Q9" s="63"/>
      <c r="R9" s="63"/>
      <c r="S9" s="63"/>
      <c r="T9" s="63"/>
      <c r="U9" s="63"/>
      <c r="V9" s="63"/>
      <c r="W9" s="63"/>
    </row>
    <row r="10" spans="1:23" x14ac:dyDescent="0.3">
      <c r="A10" s="60">
        <v>6</v>
      </c>
      <c r="B10" s="71" t="s">
        <v>39</v>
      </c>
      <c r="C10" s="62">
        <f>SUMIF('Leadsheet 31.12'!G:G,'Stato patrimoniale'!B10,'Leadsheet 31.12'!D:D)</f>
        <v>4326.5999999999767</v>
      </c>
      <c r="D10" s="63"/>
      <c r="E10" s="62">
        <v>4327</v>
      </c>
      <c r="F10" s="62">
        <f t="shared" si="2"/>
        <v>0.40000000002328306</v>
      </c>
      <c r="G10" s="63"/>
      <c r="H10" s="62">
        <f t="shared" si="3"/>
        <v>4326.5999999999767</v>
      </c>
      <c r="I10" s="62">
        <f>SUMIF('Leadsheet 31.12'!G:G,'Stato patrimoniale'!B10,'Leadsheet 31.12'!E:E)</f>
        <v>3257.6499999999942</v>
      </c>
      <c r="J10" s="62">
        <f t="shared" si="0"/>
        <v>1068.9499999999825</v>
      </c>
      <c r="K10" s="64">
        <f t="shared" si="1"/>
        <v>0.3281353122649715</v>
      </c>
      <c r="L10" s="63"/>
      <c r="M10" s="62">
        <v>3258</v>
      </c>
      <c r="N10" s="63"/>
      <c r="O10" s="62">
        <f t="shared" si="4"/>
        <v>0.35000000000582077</v>
      </c>
      <c r="P10" s="62">
        <v>4537</v>
      </c>
      <c r="Q10" s="63"/>
      <c r="R10" s="63"/>
      <c r="S10" s="63"/>
      <c r="T10" s="63"/>
      <c r="U10" s="63"/>
      <c r="V10" s="63"/>
      <c r="W10" s="63"/>
    </row>
    <row r="11" spans="1:23" x14ac:dyDescent="0.3">
      <c r="A11" s="60">
        <v>7</v>
      </c>
      <c r="B11" s="71" t="s">
        <v>40</v>
      </c>
      <c r="C11" s="62">
        <f>SUMIF('Leadsheet 31.12'!G:G,'Stato patrimoniale'!B11,'Leadsheet 31.12'!D:D)</f>
        <v>9710.25</v>
      </c>
      <c r="D11" s="63"/>
      <c r="E11" s="62">
        <v>9710</v>
      </c>
      <c r="F11" s="62">
        <f t="shared" si="2"/>
        <v>-0.25</v>
      </c>
      <c r="G11" s="63"/>
      <c r="H11" s="62">
        <f t="shared" si="3"/>
        <v>9710.25</v>
      </c>
      <c r="I11" s="62">
        <f>SUMIF('Leadsheet 31.12'!G:G,'Stato patrimoniale'!B11,'Leadsheet 31.12'!E:E)</f>
        <v>11519.86</v>
      </c>
      <c r="J11" s="62">
        <f t="shared" si="0"/>
        <v>-1809.6100000000006</v>
      </c>
      <c r="K11" s="64">
        <f t="shared" si="1"/>
        <v>-0.15708611042148085</v>
      </c>
      <c r="L11" s="63"/>
      <c r="M11" s="62">
        <v>11520</v>
      </c>
      <c r="N11" s="63"/>
      <c r="O11" s="62">
        <f t="shared" si="4"/>
        <v>0.13999999999941792</v>
      </c>
      <c r="P11" s="62">
        <v>13422</v>
      </c>
      <c r="Q11" s="63"/>
      <c r="R11" s="63"/>
      <c r="S11" s="63"/>
      <c r="T11" s="63"/>
      <c r="U11" s="63"/>
      <c r="V11" s="63"/>
      <c r="W11" s="63"/>
    </row>
    <row r="12" spans="1:23" hidden="1" x14ac:dyDescent="0.3">
      <c r="A12" s="60">
        <v>8</v>
      </c>
      <c r="B12" s="71" t="s">
        <v>41</v>
      </c>
      <c r="C12" s="62">
        <f>SUMIF('Leadsheet 31.12'!G:G,'Stato patrimoniale'!B12,'Leadsheet 31.12'!D:D)</f>
        <v>0</v>
      </c>
      <c r="D12" s="63"/>
      <c r="E12" s="62">
        <v>0</v>
      </c>
      <c r="F12" s="62">
        <f t="shared" si="2"/>
        <v>0</v>
      </c>
      <c r="G12" s="63"/>
      <c r="H12" s="62">
        <f t="shared" si="3"/>
        <v>0</v>
      </c>
      <c r="I12" s="62">
        <f>SUMIF('Leadsheet 31.12'!G:G,'Stato patrimoniale'!B12,'Leadsheet 31.12'!E:E)</f>
        <v>0</v>
      </c>
      <c r="J12" s="62">
        <f t="shared" si="0"/>
        <v>0</v>
      </c>
      <c r="K12" s="64" t="str">
        <f t="shared" si="1"/>
        <v/>
      </c>
      <c r="L12" s="63"/>
      <c r="M12" s="62">
        <v>0</v>
      </c>
      <c r="N12" s="63"/>
      <c r="O12" s="62">
        <f t="shared" si="4"/>
        <v>0</v>
      </c>
      <c r="P12" s="62">
        <v>0</v>
      </c>
      <c r="Q12" s="63"/>
      <c r="R12" s="63"/>
      <c r="S12" s="63"/>
      <c r="T12" s="63"/>
      <c r="U12" s="63"/>
      <c r="V12" s="63"/>
      <c r="W12" s="63"/>
    </row>
    <row r="13" spans="1:23" x14ac:dyDescent="0.3">
      <c r="A13" s="60">
        <v>9</v>
      </c>
      <c r="B13" s="71" t="s">
        <v>42</v>
      </c>
      <c r="C13" s="62">
        <f>SUMIF('Leadsheet 31.12'!G:G,'Stato patrimoniale'!B13,'Leadsheet 31.12'!D:D)</f>
        <v>6461.96</v>
      </c>
      <c r="D13" s="63"/>
      <c r="E13" s="62">
        <v>6462</v>
      </c>
      <c r="F13" s="62">
        <f t="shared" si="2"/>
        <v>3.999999999996362E-2</v>
      </c>
      <c r="G13" s="63"/>
      <c r="H13" s="62">
        <f t="shared" si="3"/>
        <v>6461.96</v>
      </c>
      <c r="I13" s="62">
        <f>SUMIF('Leadsheet 31.12'!G:G,'Stato patrimoniale'!B13,'Leadsheet 31.12'!E:E)</f>
        <v>28779.599999999999</v>
      </c>
      <c r="J13" s="62">
        <f t="shared" si="0"/>
        <v>-22317.64</v>
      </c>
      <c r="K13" s="64">
        <f t="shared" si="1"/>
        <v>-0.77546734492487734</v>
      </c>
      <c r="L13" s="63"/>
      <c r="M13" s="62">
        <v>28780</v>
      </c>
      <c r="N13" s="63"/>
      <c r="O13" s="62">
        <f t="shared" si="4"/>
        <v>0.40000000000145519</v>
      </c>
      <c r="P13" s="62">
        <v>50705</v>
      </c>
      <c r="Q13" s="63"/>
      <c r="R13" s="63"/>
      <c r="S13" s="63"/>
      <c r="T13" s="63"/>
      <c r="U13" s="63"/>
      <c r="V13" s="63"/>
      <c r="W13" s="63"/>
    </row>
    <row r="14" spans="1:23" hidden="1" x14ac:dyDescent="0.3">
      <c r="A14" s="60"/>
      <c r="B14" s="65"/>
      <c r="C14" s="66"/>
      <c r="E14" s="66"/>
      <c r="F14" s="66"/>
      <c r="H14" s="66"/>
      <c r="I14" s="66"/>
      <c r="J14" s="66"/>
      <c r="K14" s="64"/>
      <c r="M14" s="66"/>
      <c r="O14" s="66"/>
      <c r="P14" s="66"/>
    </row>
    <row r="15" spans="1:23" s="70" customFormat="1" x14ac:dyDescent="0.3">
      <c r="A15" s="60">
        <v>11</v>
      </c>
      <c r="B15" s="61" t="s">
        <v>43</v>
      </c>
      <c r="C15" s="67">
        <f>SUM(C16:C20)</f>
        <v>15345560.779999999</v>
      </c>
      <c r="D15" s="68"/>
      <c r="E15" s="67">
        <v>15345561</v>
      </c>
      <c r="F15" s="67">
        <f t="shared" ref="F15:F20" si="5">E15-C15</f>
        <v>0.22000000067055225</v>
      </c>
      <c r="G15" s="68"/>
      <c r="H15" s="67">
        <f t="shared" ref="H15:H20" si="6">C15</f>
        <v>15345560.779999999</v>
      </c>
      <c r="I15" s="67">
        <f>SUM(I16:I20)</f>
        <v>14680997.940000005</v>
      </c>
      <c r="J15" s="67">
        <f t="shared" si="0"/>
        <v>664562.83999999426</v>
      </c>
      <c r="K15" s="69">
        <f t="shared" si="1"/>
        <v>4.5266871006726266E-2</v>
      </c>
      <c r="L15" s="68"/>
      <c r="M15" s="67">
        <v>14680998</v>
      </c>
      <c r="N15" s="68"/>
      <c r="O15" s="67">
        <f t="shared" ref="O15:O20" si="7">+M15-I15</f>
        <v>5.9999994933605194E-2</v>
      </c>
      <c r="P15" s="67">
        <v>14234830</v>
      </c>
      <c r="Q15" s="68"/>
      <c r="R15" s="68"/>
      <c r="S15" s="68"/>
      <c r="T15" s="68"/>
      <c r="U15" s="68"/>
      <c r="V15" s="68"/>
      <c r="W15" s="68"/>
    </row>
    <row r="16" spans="1:23" x14ac:dyDescent="0.3">
      <c r="A16" s="60">
        <v>12</v>
      </c>
      <c r="B16" s="71" t="s">
        <v>44</v>
      </c>
      <c r="C16" s="62">
        <f>SUMIF('Leadsheet 31.12'!G:G,'Stato patrimoniale'!B16,'Leadsheet 31.12'!D:D)</f>
        <v>9640284.1400000006</v>
      </c>
      <c r="D16" s="63"/>
      <c r="E16" s="62">
        <v>9640284</v>
      </c>
      <c r="F16" s="62">
        <f t="shared" si="5"/>
        <v>-0.14000000059604645</v>
      </c>
      <c r="G16" s="63"/>
      <c r="H16" s="62">
        <f t="shared" si="6"/>
        <v>9640284.1400000006</v>
      </c>
      <c r="I16" s="62">
        <f>SUMIF('Leadsheet 31.12'!G:G,'Stato patrimoniale'!B16,'Leadsheet 31.12'!E:E)</f>
        <v>9695859.6800000034</v>
      </c>
      <c r="J16" s="62">
        <f t="shared" si="0"/>
        <v>-55575.540000002831</v>
      </c>
      <c r="K16" s="64">
        <f t="shared" si="1"/>
        <v>-5.7318836940926949E-3</v>
      </c>
      <c r="L16" s="63"/>
      <c r="M16" s="62">
        <v>9695860</v>
      </c>
      <c r="N16" s="63"/>
      <c r="O16" s="62">
        <f t="shared" si="7"/>
        <v>0.31999999657273293</v>
      </c>
      <c r="P16" s="62">
        <v>8571271</v>
      </c>
      <c r="Q16" s="63"/>
      <c r="R16" s="63"/>
      <c r="S16" s="63"/>
      <c r="T16" s="63"/>
      <c r="U16" s="63"/>
      <c r="V16" s="63"/>
      <c r="W16" s="63"/>
    </row>
    <row r="17" spans="1:23" x14ac:dyDescent="0.3">
      <c r="A17" s="60">
        <v>13</v>
      </c>
      <c r="B17" s="71" t="s">
        <v>45</v>
      </c>
      <c r="C17" s="62">
        <f>SUMIF('Leadsheet 31.12'!G:G,'Stato patrimoniale'!B17,'Leadsheet 31.12'!D:D)</f>
        <v>5191220.6999999983</v>
      </c>
      <c r="D17" s="63"/>
      <c r="E17" s="62">
        <v>5191221</v>
      </c>
      <c r="F17" s="62">
        <f t="shared" si="5"/>
        <v>0.30000000167638063</v>
      </c>
      <c r="G17" s="63"/>
      <c r="H17" s="62">
        <f t="shared" si="6"/>
        <v>5191220.6999999983</v>
      </c>
      <c r="I17" s="62">
        <f>SUMIF('Leadsheet 31.12'!G:G,'Stato patrimoniale'!B17,'Leadsheet 31.12'!E:E)</f>
        <v>4561046.2700000014</v>
      </c>
      <c r="J17" s="72">
        <f t="shared" si="0"/>
        <v>630174.42999999691</v>
      </c>
      <c r="K17" s="73">
        <f t="shared" si="1"/>
        <v>0.13816444576432607</v>
      </c>
      <c r="L17" s="63"/>
      <c r="M17" s="62">
        <v>4561046</v>
      </c>
      <c r="N17" s="63"/>
      <c r="O17" s="62">
        <f t="shared" si="7"/>
        <v>-0.27000000141561031</v>
      </c>
      <c r="P17" s="62">
        <v>4930532</v>
      </c>
      <c r="Q17" s="63"/>
      <c r="R17" s="63"/>
      <c r="S17" s="63"/>
      <c r="T17" s="63"/>
      <c r="U17" s="63"/>
      <c r="V17" s="63"/>
      <c r="W17" s="63"/>
    </row>
    <row r="18" spans="1:23" x14ac:dyDescent="0.3">
      <c r="A18" s="60">
        <v>14</v>
      </c>
      <c r="B18" s="71" t="s">
        <v>46</v>
      </c>
      <c r="C18" s="62">
        <f>SUMIF('Leadsheet 31.12'!G:G,'Stato patrimoniale'!B18,'Leadsheet 31.12'!D:D)</f>
        <v>103026.93999999997</v>
      </c>
      <c r="D18" s="63"/>
      <c r="E18" s="62">
        <v>103027</v>
      </c>
      <c r="F18" s="62">
        <f t="shared" si="5"/>
        <v>6.0000000026775524E-2</v>
      </c>
      <c r="G18" s="63"/>
      <c r="H18" s="62">
        <f t="shared" si="6"/>
        <v>103026.93999999997</v>
      </c>
      <c r="I18" s="62">
        <f>SUMIF('Leadsheet 31.12'!G:G,'Stato patrimoniale'!B18,'Leadsheet 31.12'!E:E)</f>
        <v>37207.770000000019</v>
      </c>
      <c r="J18" s="72">
        <f t="shared" si="0"/>
        <v>65819.169999999955</v>
      </c>
      <c r="K18" s="73">
        <f t="shared" si="1"/>
        <v>1.7689630418592655</v>
      </c>
      <c r="L18" s="63"/>
      <c r="M18" s="62">
        <v>37208</v>
      </c>
      <c r="N18" s="63"/>
      <c r="O18" s="62">
        <f t="shared" si="7"/>
        <v>0.22999999998137355</v>
      </c>
      <c r="P18" s="62">
        <v>43338</v>
      </c>
      <c r="Q18" s="63"/>
      <c r="R18" s="63"/>
      <c r="S18" s="63"/>
      <c r="T18" s="63"/>
      <c r="U18" s="63"/>
      <c r="V18" s="63"/>
      <c r="W18" s="63"/>
    </row>
    <row r="19" spans="1:23" x14ac:dyDescent="0.3">
      <c r="A19" s="60">
        <v>15</v>
      </c>
      <c r="B19" s="71" t="s">
        <v>47</v>
      </c>
      <c r="C19" s="62">
        <f>SUMIF('Leadsheet 31.12'!G:G,'Stato patrimoniale'!B19,'Leadsheet 31.12'!D:D)</f>
        <v>70502.520000000048</v>
      </c>
      <c r="D19" s="63"/>
      <c r="E19" s="62">
        <v>70503</v>
      </c>
      <c r="F19" s="62">
        <f t="shared" si="5"/>
        <v>0.47999999995226972</v>
      </c>
      <c r="G19" s="63"/>
      <c r="H19" s="62">
        <f t="shared" si="6"/>
        <v>70502.520000000048</v>
      </c>
      <c r="I19" s="62">
        <f>SUMIF('Leadsheet 31.12'!G:G,'Stato patrimoniale'!B19,'Leadsheet 31.12'!E:E)</f>
        <v>89263.34</v>
      </c>
      <c r="J19" s="72">
        <f t="shared" si="0"/>
        <v>-18760.819999999949</v>
      </c>
      <c r="K19" s="73">
        <f t="shared" si="1"/>
        <v>-0.21017385188589122</v>
      </c>
      <c r="L19" s="63"/>
      <c r="M19" s="62">
        <v>89263</v>
      </c>
      <c r="N19" s="63"/>
      <c r="O19" s="62">
        <f t="shared" si="7"/>
        <v>-0.33999999999650754</v>
      </c>
      <c r="P19" s="62">
        <v>35307</v>
      </c>
      <c r="Q19" s="63"/>
      <c r="R19" s="63"/>
      <c r="S19" s="63"/>
      <c r="T19" s="63"/>
      <c r="U19" s="63"/>
      <c r="V19" s="63"/>
      <c r="W19" s="63"/>
    </row>
    <row r="20" spans="1:23" x14ac:dyDescent="0.3">
      <c r="A20" s="60">
        <v>16</v>
      </c>
      <c r="B20" s="71" t="s">
        <v>48</v>
      </c>
      <c r="C20" s="62">
        <f>SUMIF('Leadsheet 31.12'!G:G,'Stato patrimoniale'!B20,'Leadsheet 31.12'!D:D)</f>
        <v>340526.48</v>
      </c>
      <c r="D20" s="63"/>
      <c r="E20" s="62">
        <v>340526</v>
      </c>
      <c r="F20" s="62">
        <f t="shared" si="5"/>
        <v>-0.47999999998137355</v>
      </c>
      <c r="G20" s="63"/>
      <c r="H20" s="62">
        <f t="shared" si="6"/>
        <v>340526.48</v>
      </c>
      <c r="I20" s="62">
        <f>SUMIF('Leadsheet 31.12'!G:G,'Stato patrimoniale'!B20,'Leadsheet 31.12'!E:E)</f>
        <v>297620.88</v>
      </c>
      <c r="J20" s="72">
        <f t="shared" si="0"/>
        <v>42905.599999999977</v>
      </c>
      <c r="K20" s="73">
        <f t="shared" si="1"/>
        <v>0.14416192842383899</v>
      </c>
      <c r="L20" s="63"/>
      <c r="M20" s="62">
        <v>297621</v>
      </c>
      <c r="N20" s="63"/>
      <c r="O20" s="62">
        <f t="shared" si="7"/>
        <v>0.11999999999534339</v>
      </c>
      <c r="P20" s="62">
        <v>654382</v>
      </c>
      <c r="Q20" s="63"/>
      <c r="R20" s="63"/>
      <c r="S20" s="63"/>
      <c r="T20" s="63"/>
      <c r="U20" s="63"/>
      <c r="V20" s="63"/>
      <c r="W20" s="63"/>
    </row>
    <row r="21" spans="1:23" hidden="1" x14ac:dyDescent="0.3">
      <c r="A21" s="60"/>
      <c r="B21" s="65"/>
      <c r="C21" s="66"/>
      <c r="E21" s="66"/>
      <c r="F21" s="66"/>
      <c r="H21" s="66"/>
      <c r="I21" s="66"/>
      <c r="J21" s="66"/>
      <c r="K21" s="64"/>
      <c r="M21" s="66"/>
      <c r="O21" s="66"/>
      <c r="P21" s="66"/>
    </row>
    <row r="22" spans="1:23" s="70" customFormat="1" x14ac:dyDescent="0.3">
      <c r="A22" s="60">
        <v>18</v>
      </c>
      <c r="B22" s="61" t="s">
        <v>49</v>
      </c>
      <c r="C22" s="67">
        <f>SUM(C23:C27)</f>
        <v>702798.86</v>
      </c>
      <c r="D22" s="68"/>
      <c r="E22" s="67">
        <v>702799</v>
      </c>
      <c r="F22" s="67">
        <f t="shared" ref="F22:F27" si="8">E22-C22</f>
        <v>0.14000000001396984</v>
      </c>
      <c r="G22" s="68"/>
      <c r="H22" s="67">
        <f t="shared" ref="H22:H27" si="9">C22</f>
        <v>702798.86</v>
      </c>
      <c r="I22" s="67">
        <f>SUM(I23:I27)</f>
        <v>622057.18999999994</v>
      </c>
      <c r="J22" s="67">
        <f t="shared" si="0"/>
        <v>80741.670000000042</v>
      </c>
      <c r="K22" s="69">
        <f t="shared" si="1"/>
        <v>0.12979782453764427</v>
      </c>
      <c r="L22" s="68"/>
      <c r="M22" s="67">
        <v>622058</v>
      </c>
      <c r="N22" s="68"/>
      <c r="O22" s="67">
        <f t="shared" ref="O22:O27" si="10">+M22-I22</f>
        <v>0.81000000005587935</v>
      </c>
      <c r="P22" s="67">
        <v>24170</v>
      </c>
      <c r="Q22" s="68"/>
      <c r="R22" s="68"/>
      <c r="S22" s="68"/>
      <c r="T22" s="68"/>
      <c r="U22" s="68"/>
      <c r="V22" s="68"/>
      <c r="W22" s="68"/>
    </row>
    <row r="23" spans="1:23" x14ac:dyDescent="0.3">
      <c r="A23" s="60">
        <v>19</v>
      </c>
      <c r="B23" s="71" t="s">
        <v>50</v>
      </c>
      <c r="C23" s="62">
        <f>SUMIF('Leadsheet 31.12'!G:G,'Stato patrimoniale'!B23,'Leadsheet 31.12'!D:D)</f>
        <v>1</v>
      </c>
      <c r="D23" s="63"/>
      <c r="E23" s="62">
        <v>1</v>
      </c>
      <c r="F23" s="62">
        <f t="shared" si="8"/>
        <v>0</v>
      </c>
      <c r="G23" s="63"/>
      <c r="H23" s="62">
        <f t="shared" si="9"/>
        <v>1</v>
      </c>
      <c r="I23" s="62">
        <f>SUMIF('Leadsheet 31.12'!G:G,'Stato patrimoniale'!B23,'Leadsheet 31.12'!E:E)</f>
        <v>1</v>
      </c>
      <c r="J23" s="62">
        <f t="shared" si="0"/>
        <v>0</v>
      </c>
      <c r="K23" s="64">
        <f t="shared" si="1"/>
        <v>0</v>
      </c>
      <c r="L23" s="63"/>
      <c r="M23" s="62">
        <v>1</v>
      </c>
      <c r="N23" s="63"/>
      <c r="O23" s="62">
        <f t="shared" si="10"/>
        <v>0</v>
      </c>
      <c r="P23" s="62">
        <v>1</v>
      </c>
      <c r="Q23" s="63"/>
      <c r="R23" s="63"/>
      <c r="S23" s="63"/>
      <c r="T23" s="63"/>
      <c r="U23" s="63"/>
      <c r="V23" s="63"/>
      <c r="W23" s="63"/>
    </row>
    <row r="24" spans="1:23" x14ac:dyDescent="0.3">
      <c r="A24" s="60">
        <v>20</v>
      </c>
      <c r="B24" s="71" t="s">
        <v>51</v>
      </c>
      <c r="C24" s="62">
        <f>SUMIF('Leadsheet 31.12'!G:G,'Stato patrimoniale'!B24,'Leadsheet 31.12'!D:D)</f>
        <v>439516.12</v>
      </c>
      <c r="D24" s="63"/>
      <c r="E24" s="62">
        <v>439516</v>
      </c>
      <c r="F24" s="62">
        <f t="shared" si="8"/>
        <v>-0.11999999999534339</v>
      </c>
      <c r="G24" s="63"/>
      <c r="H24" s="62">
        <f t="shared" si="9"/>
        <v>439516.12</v>
      </c>
      <c r="I24" s="62">
        <f>SUMIF('Leadsheet 31.12'!G:G,'Stato patrimoniale'!B24,'Leadsheet 31.12'!E:E)</f>
        <v>199518.87</v>
      </c>
      <c r="J24" s="62">
        <f t="shared" si="0"/>
        <v>239997.25</v>
      </c>
      <c r="K24" s="64">
        <f t="shared" si="1"/>
        <v>1.2028799581713749</v>
      </c>
      <c r="L24" s="63"/>
      <c r="M24" s="62">
        <v>199519</v>
      </c>
      <c r="N24" s="63"/>
      <c r="O24" s="62">
        <f t="shared" si="10"/>
        <v>0.13000000000465661</v>
      </c>
      <c r="P24" s="62">
        <v>8545</v>
      </c>
      <c r="Q24" s="63"/>
      <c r="R24" s="63"/>
      <c r="S24" s="63"/>
      <c r="T24" s="63"/>
      <c r="U24" s="63"/>
      <c r="V24" s="63"/>
      <c r="W24" s="63"/>
    </row>
    <row r="25" spans="1:23" x14ac:dyDescent="0.3">
      <c r="A25" s="60">
        <v>21</v>
      </c>
      <c r="B25" s="71" t="s">
        <v>52</v>
      </c>
      <c r="C25" s="62">
        <f>SUMIF('Leadsheet 31.12'!G:G,'Stato patrimoniale'!B25,'Leadsheet 31.12'!D:D)</f>
        <v>4000</v>
      </c>
      <c r="D25" s="63"/>
      <c r="E25" s="62">
        <v>4000</v>
      </c>
      <c r="F25" s="62">
        <f t="shared" si="8"/>
        <v>0</v>
      </c>
      <c r="G25" s="63"/>
      <c r="H25" s="62">
        <f t="shared" si="9"/>
        <v>4000</v>
      </c>
      <c r="I25" s="62">
        <f>SUMIF('Leadsheet 31.12'!G:G,'Stato patrimoniale'!B25,'Leadsheet 31.12'!E:E)</f>
        <v>4000</v>
      </c>
      <c r="J25" s="62">
        <f t="shared" si="0"/>
        <v>0</v>
      </c>
      <c r="K25" s="64">
        <f t="shared" si="1"/>
        <v>0</v>
      </c>
      <c r="L25" s="63"/>
      <c r="M25" s="62">
        <v>4000</v>
      </c>
      <c r="N25" s="63"/>
      <c r="O25" s="62">
        <f t="shared" si="10"/>
        <v>0</v>
      </c>
      <c r="P25" s="62">
        <v>4000</v>
      </c>
      <c r="Q25" s="63"/>
      <c r="R25" s="63"/>
      <c r="S25" s="63"/>
      <c r="T25" s="63"/>
      <c r="U25" s="63"/>
      <c r="V25" s="63"/>
      <c r="W25" s="63"/>
    </row>
    <row r="26" spans="1:23" x14ac:dyDescent="0.3">
      <c r="A26" s="60">
        <v>22</v>
      </c>
      <c r="B26" s="71" t="s">
        <v>53</v>
      </c>
      <c r="C26" s="62">
        <f>SUMIF('Leadsheet 31.12'!G:G,'Stato patrimoniale'!B26,'Leadsheet 31.12'!D:D)</f>
        <v>11623.7</v>
      </c>
      <c r="D26" s="63"/>
      <c r="E26" s="62">
        <v>11624</v>
      </c>
      <c r="F26" s="62">
        <f t="shared" si="8"/>
        <v>0.2999999999992724</v>
      </c>
      <c r="G26" s="63"/>
      <c r="H26" s="62">
        <f t="shared" si="9"/>
        <v>11623.7</v>
      </c>
      <c r="I26" s="62">
        <f>SUMIF('Leadsheet 31.12'!G:G,'Stato patrimoniale'!B26,'Leadsheet 31.12'!E:E)</f>
        <v>11623.7</v>
      </c>
      <c r="J26" s="62">
        <f t="shared" si="0"/>
        <v>0</v>
      </c>
      <c r="K26" s="64">
        <f t="shared" si="1"/>
        <v>0</v>
      </c>
      <c r="L26" s="63"/>
      <c r="M26" s="62">
        <v>11624</v>
      </c>
      <c r="N26" s="63"/>
      <c r="O26" s="62">
        <f t="shared" si="10"/>
        <v>0.2999999999992724</v>
      </c>
      <c r="P26" s="62">
        <v>11624</v>
      </c>
      <c r="Q26" s="63"/>
      <c r="R26" s="63"/>
      <c r="S26" s="63"/>
      <c r="T26" s="63"/>
      <c r="U26" s="63"/>
      <c r="V26" s="63"/>
      <c r="W26" s="63"/>
    </row>
    <row r="27" spans="1:23" x14ac:dyDescent="0.3">
      <c r="A27" s="60">
        <v>23</v>
      </c>
      <c r="B27" s="71" t="s">
        <v>54</v>
      </c>
      <c r="C27" s="62">
        <f>SUMIF('Leadsheet 31.12'!G:G,'Stato patrimoniale'!B27,'Leadsheet 31.12'!D:D)</f>
        <v>247658.04</v>
      </c>
      <c r="D27" s="63"/>
      <c r="E27" s="62">
        <v>247658</v>
      </c>
      <c r="F27" s="62">
        <f t="shared" si="8"/>
        <v>-4.0000000008149073E-2</v>
      </c>
      <c r="G27" s="63"/>
      <c r="H27" s="62">
        <f t="shared" si="9"/>
        <v>247658.04</v>
      </c>
      <c r="I27" s="62">
        <f>SUMIF('Leadsheet 31.12'!G:G,'Stato patrimoniale'!B27,'Leadsheet 31.12'!E:E)</f>
        <v>406913.62</v>
      </c>
      <c r="J27" s="62">
        <f t="shared" si="0"/>
        <v>-159255.57999999999</v>
      </c>
      <c r="K27" s="64">
        <f t="shared" si="1"/>
        <v>-0.39137441504169851</v>
      </c>
      <c r="L27" s="63"/>
      <c r="M27" s="62">
        <v>406914</v>
      </c>
      <c r="N27" s="63"/>
      <c r="O27" s="62">
        <f t="shared" si="10"/>
        <v>0.38000000000465661</v>
      </c>
      <c r="P27" s="62">
        <v>0</v>
      </c>
      <c r="Q27" s="63"/>
      <c r="R27" s="63"/>
      <c r="S27" s="63"/>
      <c r="T27" s="63"/>
      <c r="U27" s="63"/>
      <c r="V27" s="63"/>
      <c r="W27" s="63"/>
    </row>
    <row r="28" spans="1:23" hidden="1" x14ac:dyDescent="0.3">
      <c r="A28" s="60"/>
      <c r="B28" s="65"/>
      <c r="C28" s="66"/>
      <c r="E28" s="66"/>
      <c r="F28" s="66"/>
      <c r="H28" s="66"/>
      <c r="I28" s="66"/>
      <c r="J28" s="66"/>
      <c r="K28" s="64"/>
      <c r="M28" s="66"/>
      <c r="O28" s="66"/>
      <c r="P28" s="66"/>
    </row>
    <row r="29" spans="1:23" s="70" customFormat="1" x14ac:dyDescent="0.3">
      <c r="A29" s="60">
        <v>24</v>
      </c>
      <c r="B29" s="61" t="s">
        <v>55</v>
      </c>
      <c r="C29" s="67">
        <f>SUM(C30:C34)</f>
        <v>1764328.8399999999</v>
      </c>
      <c r="D29" s="68"/>
      <c r="E29" s="67">
        <v>1764329</v>
      </c>
      <c r="F29" s="67">
        <f t="shared" ref="F29:F34" si="11">E29-C29</f>
        <v>0.16000000014901161</v>
      </c>
      <c r="G29" s="68"/>
      <c r="H29" s="67">
        <f t="shared" ref="H29:H34" si="12">C29</f>
        <v>1764328.8399999999</v>
      </c>
      <c r="I29" s="67">
        <f>SUM(I30:I34)</f>
        <v>3207150.8100000005</v>
      </c>
      <c r="J29" s="67">
        <f t="shared" si="0"/>
        <v>-1442821.9700000007</v>
      </c>
      <c r="K29" s="69">
        <f t="shared" si="1"/>
        <v>-0.44987655881389638</v>
      </c>
      <c r="L29" s="68"/>
      <c r="M29" s="67">
        <v>3207151</v>
      </c>
      <c r="N29" s="68"/>
      <c r="O29" s="67">
        <f t="shared" ref="O29:O34" si="13">+M29-I29</f>
        <v>0.18999999947845936</v>
      </c>
      <c r="P29" s="67">
        <v>2192838</v>
      </c>
      <c r="Q29" s="68"/>
      <c r="R29" s="68"/>
      <c r="S29" s="68"/>
      <c r="T29" s="68"/>
      <c r="U29" s="68"/>
      <c r="V29" s="68"/>
      <c r="W29" s="68"/>
    </row>
    <row r="30" spans="1:23" x14ac:dyDescent="0.3">
      <c r="A30" s="60">
        <v>25</v>
      </c>
      <c r="B30" s="71" t="s">
        <v>56</v>
      </c>
      <c r="C30" s="62">
        <f>SUMIF('Leadsheet 31.12'!G:G,'Stato patrimoniale'!B30,'Leadsheet 31.12'!D:D)</f>
        <v>717924.2</v>
      </c>
      <c r="D30" s="63"/>
      <c r="E30" s="62">
        <v>717924</v>
      </c>
      <c r="F30" s="62">
        <f t="shared" si="11"/>
        <v>-0.19999999995343387</v>
      </c>
      <c r="G30" s="63"/>
      <c r="H30" s="62">
        <f t="shared" si="12"/>
        <v>717924.2</v>
      </c>
      <c r="I30" s="62">
        <f>SUMIF('Leadsheet 31.12'!G:G,'Stato patrimoniale'!B30,'Leadsheet 31.12'!E:E)</f>
        <v>2419355.67</v>
      </c>
      <c r="J30" s="62">
        <f t="shared" si="0"/>
        <v>-1701431.47</v>
      </c>
      <c r="K30" s="64">
        <f t="shared" si="1"/>
        <v>-0.70325809929385041</v>
      </c>
      <c r="L30" s="63"/>
      <c r="M30" s="62">
        <v>2419356</v>
      </c>
      <c r="N30" s="63"/>
      <c r="O30" s="62">
        <f t="shared" si="13"/>
        <v>0.33000000007450581</v>
      </c>
      <c r="P30" s="62">
        <v>1458534</v>
      </c>
      <c r="Q30" s="63"/>
      <c r="R30" s="63"/>
      <c r="S30" s="63"/>
      <c r="T30" s="63"/>
      <c r="U30" s="63"/>
      <c r="V30" s="63"/>
      <c r="W30" s="63"/>
    </row>
    <row r="31" spans="1:23" hidden="1" x14ac:dyDescent="0.3">
      <c r="A31" s="60">
        <v>26</v>
      </c>
      <c r="B31" s="71" t="s">
        <v>57</v>
      </c>
      <c r="C31" s="62">
        <f>SUMIF('Leadsheet 31.12'!G:G,'Stato patrimoniale'!B31,'Leadsheet 31.12'!D:D)</f>
        <v>0</v>
      </c>
      <c r="D31" s="63"/>
      <c r="E31" s="62">
        <v>0</v>
      </c>
      <c r="F31" s="62">
        <f t="shared" si="11"/>
        <v>0</v>
      </c>
      <c r="G31" s="63"/>
      <c r="H31" s="62">
        <f t="shared" si="12"/>
        <v>0</v>
      </c>
      <c r="I31" s="62">
        <f>SUMIF('Leadsheet 31.12'!G:G,'Stato patrimoniale'!B31,'Leadsheet 31.12'!E:E)</f>
        <v>0</v>
      </c>
      <c r="J31" s="62">
        <f t="shared" si="0"/>
        <v>0</v>
      </c>
      <c r="K31" s="64" t="str">
        <f t="shared" si="1"/>
        <v/>
      </c>
      <c r="L31" s="63"/>
      <c r="M31" s="62">
        <v>0</v>
      </c>
      <c r="N31" s="63"/>
      <c r="O31" s="62">
        <f t="shared" si="13"/>
        <v>0</v>
      </c>
      <c r="P31" s="62">
        <v>0</v>
      </c>
      <c r="Q31" s="63"/>
      <c r="R31" s="63"/>
      <c r="S31" s="63"/>
      <c r="T31" s="63"/>
      <c r="U31" s="63"/>
      <c r="V31" s="63"/>
      <c r="W31" s="63"/>
    </row>
    <row r="32" spans="1:23" hidden="1" x14ac:dyDescent="0.3">
      <c r="A32" s="60">
        <v>27</v>
      </c>
      <c r="B32" s="71" t="s">
        <v>58</v>
      </c>
      <c r="C32" s="62">
        <f>SUMIF('Leadsheet 31.12'!G:G,'Stato patrimoniale'!B32,'Leadsheet 31.12'!D:D)</f>
        <v>0</v>
      </c>
      <c r="D32" s="63"/>
      <c r="E32" s="62">
        <v>0</v>
      </c>
      <c r="F32" s="62">
        <f t="shared" si="11"/>
        <v>0</v>
      </c>
      <c r="G32" s="63"/>
      <c r="H32" s="62">
        <f t="shared" si="12"/>
        <v>0</v>
      </c>
      <c r="I32" s="62">
        <f>SUMIF('Leadsheet 31.12'!G:G,'Stato patrimoniale'!B32,'Leadsheet 31.12'!E:E)</f>
        <v>0</v>
      </c>
      <c r="J32" s="62">
        <f t="shared" si="0"/>
        <v>0</v>
      </c>
      <c r="K32" s="64" t="str">
        <f t="shared" si="1"/>
        <v/>
      </c>
      <c r="L32" s="63"/>
      <c r="M32" s="62">
        <v>0</v>
      </c>
      <c r="N32" s="63"/>
      <c r="O32" s="62">
        <f t="shared" si="13"/>
        <v>0</v>
      </c>
      <c r="P32" s="62">
        <v>0</v>
      </c>
      <c r="Q32" s="63"/>
      <c r="R32" s="63"/>
      <c r="S32" s="63"/>
      <c r="T32" s="63"/>
      <c r="U32" s="63"/>
      <c r="V32" s="63"/>
      <c r="W32" s="63"/>
    </row>
    <row r="33" spans="1:23" x14ac:dyDescent="0.3">
      <c r="A33" s="60">
        <v>28</v>
      </c>
      <c r="B33" s="71" t="s">
        <v>59</v>
      </c>
      <c r="C33" s="62">
        <f>SUMIF('Leadsheet 31.12'!G:G,'Stato patrimoniale'!B33,'Leadsheet 31.12'!D:D)</f>
        <v>881815.01</v>
      </c>
      <c r="D33" s="63"/>
      <c r="E33" s="62">
        <v>881815</v>
      </c>
      <c r="F33" s="62">
        <f t="shared" si="11"/>
        <v>-1.0000000009313226E-2</v>
      </c>
      <c r="G33" s="63"/>
      <c r="H33" s="62">
        <f t="shared" si="12"/>
        <v>881815.01</v>
      </c>
      <c r="I33" s="62">
        <f>SUMIF('Leadsheet 31.12'!G:G,'Stato patrimoniale'!B33,'Leadsheet 31.12'!E:E)</f>
        <v>644655.94000000018</v>
      </c>
      <c r="J33" s="62">
        <f t="shared" si="0"/>
        <v>237159.06999999983</v>
      </c>
      <c r="K33" s="64">
        <f t="shared" si="1"/>
        <v>0.36788472002600298</v>
      </c>
      <c r="L33" s="63"/>
      <c r="M33" s="62">
        <v>644656</v>
      </c>
      <c r="N33" s="63"/>
      <c r="O33" s="62">
        <f t="shared" si="13"/>
        <v>5.9999999823048711E-2</v>
      </c>
      <c r="P33" s="62">
        <v>734304</v>
      </c>
      <c r="Q33" s="63"/>
      <c r="R33" s="63"/>
      <c r="S33" s="63"/>
      <c r="T33" s="63"/>
      <c r="U33" s="63"/>
      <c r="V33" s="63"/>
      <c r="W33" s="63"/>
    </row>
    <row r="34" spans="1:23" x14ac:dyDescent="0.3">
      <c r="A34" s="60">
        <v>29</v>
      </c>
      <c r="B34" s="71" t="s">
        <v>60</v>
      </c>
      <c r="C34" s="62">
        <f>SUMIF('Leadsheet 31.12'!G:G,'Stato patrimoniale'!B34,'Leadsheet 31.12'!D:D)</f>
        <v>164589.63</v>
      </c>
      <c r="D34" s="63"/>
      <c r="E34" s="62">
        <v>164590</v>
      </c>
      <c r="F34" s="62">
        <f t="shared" si="11"/>
        <v>0.36999999999534339</v>
      </c>
      <c r="G34" s="63"/>
      <c r="H34" s="62">
        <f t="shared" si="12"/>
        <v>164589.63</v>
      </c>
      <c r="I34" s="62">
        <f>SUMIF('Leadsheet 31.12'!G:G,'Stato patrimoniale'!B34,'Leadsheet 31.12'!E:E)</f>
        <v>143139.20000000001</v>
      </c>
      <c r="J34" s="62">
        <f t="shared" si="0"/>
        <v>21450.429999999993</v>
      </c>
      <c r="K34" s="64">
        <f t="shared" si="1"/>
        <v>0.1498571320784243</v>
      </c>
      <c r="L34" s="63"/>
      <c r="M34" s="62">
        <v>143139</v>
      </c>
      <c r="N34" s="63"/>
      <c r="O34" s="62">
        <f t="shared" si="13"/>
        <v>-0.20000000001164153</v>
      </c>
      <c r="P34" s="62">
        <v>0</v>
      </c>
      <c r="Q34" s="63"/>
      <c r="R34" s="63"/>
      <c r="S34" s="63"/>
      <c r="T34" s="63"/>
      <c r="U34" s="63"/>
      <c r="V34" s="63"/>
      <c r="W34" s="63"/>
    </row>
    <row r="35" spans="1:23" hidden="1" x14ac:dyDescent="0.3">
      <c r="A35" s="60"/>
      <c r="B35" s="65"/>
      <c r="C35" s="66"/>
      <c r="E35" s="66"/>
      <c r="F35" s="66"/>
      <c r="H35" s="66"/>
      <c r="I35" s="66"/>
      <c r="J35" s="66"/>
      <c r="K35" s="64"/>
      <c r="M35" s="66"/>
      <c r="O35" s="66"/>
      <c r="P35" s="66"/>
    </row>
    <row r="36" spans="1:23" s="70" customFormat="1" x14ac:dyDescent="0.3">
      <c r="A36" s="60">
        <v>31</v>
      </c>
      <c r="B36" s="61" t="s">
        <v>61</v>
      </c>
      <c r="C36" s="67">
        <f>+C37+C38+C39+C42+C43</f>
        <v>20157817.949999999</v>
      </c>
      <c r="D36" s="68"/>
      <c r="E36" s="67">
        <v>20157818</v>
      </c>
      <c r="F36" s="67">
        <f t="shared" ref="F36:F45" si="14">E36-C36</f>
        <v>5.000000074505806E-2</v>
      </c>
      <c r="G36" s="68"/>
      <c r="H36" s="67">
        <f t="shared" ref="H36:H45" si="15">C36</f>
        <v>20157817.949999999</v>
      </c>
      <c r="I36" s="67">
        <f>+I37+I38+I39+I42+I43</f>
        <v>24628966.559999999</v>
      </c>
      <c r="J36" s="67">
        <f t="shared" si="0"/>
        <v>-4471148.6099999994</v>
      </c>
      <c r="K36" s="69">
        <f t="shared" si="1"/>
        <v>-0.18154024445595737</v>
      </c>
      <c r="L36" s="68"/>
      <c r="M36" s="67">
        <v>24629097</v>
      </c>
      <c r="N36" s="68"/>
      <c r="O36" s="67">
        <f t="shared" ref="O36:O45" si="16">+M36-I36</f>
        <v>130.4400000013411</v>
      </c>
      <c r="P36" s="67">
        <v>16089500</v>
      </c>
      <c r="Q36" s="68"/>
      <c r="R36" s="68"/>
      <c r="S36" s="68"/>
      <c r="T36" s="68"/>
      <c r="U36" s="68"/>
      <c r="V36" s="68"/>
      <c r="W36" s="68"/>
    </row>
    <row r="37" spans="1:23" x14ac:dyDescent="0.3">
      <c r="A37" s="60">
        <v>32</v>
      </c>
      <c r="B37" s="71" t="s">
        <v>62</v>
      </c>
      <c r="C37" s="62">
        <f>SUMIF('Leadsheet 31.12'!G:G,'Stato patrimoniale'!B37,'Leadsheet 31.12'!D:D)</f>
        <v>17516397.660000004</v>
      </c>
      <c r="D37" s="63"/>
      <c r="E37" s="62">
        <v>17516398</v>
      </c>
      <c r="F37" s="62">
        <f t="shared" si="14"/>
        <v>0.33999999612569809</v>
      </c>
      <c r="G37" s="63"/>
      <c r="H37" s="62">
        <f t="shared" si="15"/>
        <v>17516397.660000004</v>
      </c>
      <c r="I37" s="62">
        <f>SUMIF('Leadsheet 31.12'!G:G,'Stato patrimoniale'!B37,'Leadsheet 31.12'!E:E)</f>
        <v>22871398.800000001</v>
      </c>
      <c r="J37" s="72">
        <f t="shared" si="0"/>
        <v>-5355001.1399999969</v>
      </c>
      <c r="K37" s="73">
        <f t="shared" si="1"/>
        <v>-0.23413527029225675</v>
      </c>
      <c r="L37" s="63"/>
      <c r="M37" s="62">
        <v>22871399</v>
      </c>
      <c r="N37" s="63"/>
      <c r="O37" s="62">
        <f t="shared" si="16"/>
        <v>0.19999999925494194</v>
      </c>
      <c r="P37" s="62">
        <v>14705111</v>
      </c>
      <c r="Q37" s="63"/>
      <c r="R37" s="63"/>
      <c r="S37" s="63"/>
      <c r="T37" s="63"/>
      <c r="U37" s="63"/>
      <c r="V37" s="63"/>
      <c r="W37" s="63"/>
    </row>
    <row r="38" spans="1:23" x14ac:dyDescent="0.3">
      <c r="A38" s="60">
        <v>33</v>
      </c>
      <c r="B38" s="71" t="s">
        <v>63</v>
      </c>
      <c r="C38" s="62">
        <f>SUMIF('Leadsheet 31.12'!G:G,'Stato patrimoniale'!B38,'Leadsheet 31.12'!D:D)</f>
        <v>146014.04</v>
      </c>
      <c r="D38" s="63"/>
      <c r="E38" s="62">
        <v>146014</v>
      </c>
      <c r="F38" s="62">
        <f t="shared" si="14"/>
        <v>-4.0000000008149073E-2</v>
      </c>
      <c r="G38" s="63"/>
      <c r="H38" s="62">
        <f t="shared" si="15"/>
        <v>146014.04</v>
      </c>
      <c r="I38" s="62">
        <f>SUMIF('Leadsheet 31.12'!G:G,'Stato patrimoniale'!B38,'Leadsheet 31.12'!E:E)</f>
        <v>146014.04</v>
      </c>
      <c r="J38" s="72">
        <f t="shared" si="0"/>
        <v>0</v>
      </c>
      <c r="K38" s="73">
        <f t="shared" si="1"/>
        <v>0</v>
      </c>
      <c r="L38" s="63"/>
      <c r="M38" s="62">
        <v>146014</v>
      </c>
      <c r="N38" s="63"/>
      <c r="O38" s="62">
        <f t="shared" si="16"/>
        <v>-4.0000000008149073E-2</v>
      </c>
      <c r="P38" s="62">
        <v>146014</v>
      </c>
      <c r="Q38" s="63"/>
      <c r="R38" s="63"/>
      <c r="S38" s="63"/>
      <c r="T38" s="63"/>
      <c r="U38" s="63"/>
      <c r="V38" s="63"/>
      <c r="W38" s="63"/>
    </row>
    <row r="39" spans="1:23" x14ac:dyDescent="0.3">
      <c r="A39" s="60">
        <v>34</v>
      </c>
      <c r="B39" s="71" t="s">
        <v>64</v>
      </c>
      <c r="C39" s="62">
        <f>SUMIF('Leadsheet 31.12'!G:G,'Stato patrimoniale'!B39,'Leadsheet 31.12'!D:D)</f>
        <v>1802345.08</v>
      </c>
      <c r="D39" s="63"/>
      <c r="E39" s="62">
        <v>1802345</v>
      </c>
      <c r="F39" s="62">
        <f t="shared" si="14"/>
        <v>-8.0000000074505806E-2</v>
      </c>
      <c r="G39" s="63"/>
      <c r="H39" s="62">
        <f t="shared" si="15"/>
        <v>1802345.08</v>
      </c>
      <c r="I39" s="62">
        <f>SUMIF('Leadsheet 31.12'!G:G,'Stato patrimoniale'!B39,'Leadsheet 31.12'!E:E)</f>
        <v>1025967.74</v>
      </c>
      <c r="J39" s="72">
        <f t="shared" si="0"/>
        <v>776377.34000000008</v>
      </c>
      <c r="K39" s="73">
        <f t="shared" si="1"/>
        <v>0.75672685380926319</v>
      </c>
      <c r="L39" s="63"/>
      <c r="M39" s="62">
        <v>1025968</v>
      </c>
      <c r="N39" s="63"/>
      <c r="O39" s="62">
        <f t="shared" si="16"/>
        <v>0.26000000000931323</v>
      </c>
      <c r="P39" s="62">
        <v>402449</v>
      </c>
      <c r="Q39" s="63"/>
      <c r="R39" s="63"/>
      <c r="S39" s="63"/>
      <c r="T39" s="63"/>
      <c r="U39" s="63"/>
      <c r="V39" s="63"/>
      <c r="W39" s="63"/>
    </row>
    <row r="40" spans="1:23" s="76" customFormat="1" hidden="1" x14ac:dyDescent="0.3">
      <c r="A40" s="60">
        <v>35</v>
      </c>
      <c r="B40" s="74" t="s">
        <v>65</v>
      </c>
      <c r="C40" s="62">
        <f>SUMIF('Leadsheet 31.12'!G:G,'Stato patrimoniale'!B40,'Leadsheet 31.12'!D:D)</f>
        <v>0</v>
      </c>
      <c r="D40" s="63"/>
      <c r="E40" s="62">
        <v>0</v>
      </c>
      <c r="F40" s="62">
        <f t="shared" si="14"/>
        <v>0</v>
      </c>
      <c r="G40" s="63"/>
      <c r="H40" s="62">
        <f t="shared" si="15"/>
        <v>0</v>
      </c>
      <c r="I40" s="62">
        <f>SUMIF('Leadsheet 31.12'!G:G,'Stato patrimoniale'!B40,'Leadsheet 31.12'!E:E)</f>
        <v>0</v>
      </c>
      <c r="J40" s="62">
        <f t="shared" si="0"/>
        <v>0</v>
      </c>
      <c r="K40" s="64" t="str">
        <f t="shared" si="1"/>
        <v/>
      </c>
      <c r="L40" s="75"/>
      <c r="M40" s="62">
        <v>0</v>
      </c>
      <c r="N40" s="63"/>
      <c r="O40" s="62">
        <f t="shared" si="16"/>
        <v>0</v>
      </c>
      <c r="P40" s="62"/>
      <c r="Q40" s="63"/>
      <c r="R40" s="63"/>
      <c r="S40" s="63"/>
      <c r="T40" s="63"/>
      <c r="U40" s="63"/>
      <c r="V40" s="63"/>
      <c r="W40" s="63"/>
    </row>
    <row r="41" spans="1:23" s="76" customFormat="1" hidden="1" x14ac:dyDescent="0.3">
      <c r="A41" s="60">
        <v>36</v>
      </c>
      <c r="B41" s="74" t="s">
        <v>66</v>
      </c>
      <c r="C41" s="62">
        <f>SUMIF('Leadsheet 31.12'!G:G,'Stato patrimoniale'!B41,'Leadsheet 31.12'!D:D)</f>
        <v>0</v>
      </c>
      <c r="D41" s="63"/>
      <c r="E41" s="62">
        <v>0</v>
      </c>
      <c r="F41" s="62">
        <f t="shared" si="14"/>
        <v>0</v>
      </c>
      <c r="G41" s="63"/>
      <c r="H41" s="62">
        <f t="shared" si="15"/>
        <v>0</v>
      </c>
      <c r="I41" s="62">
        <f>SUMIF('Leadsheet 31.12'!G:G,'Stato patrimoniale'!B41,'Leadsheet 31.12'!E:E)</f>
        <v>0</v>
      </c>
      <c r="J41" s="62">
        <f t="shared" si="0"/>
        <v>0</v>
      </c>
      <c r="K41" s="64" t="str">
        <f t="shared" si="1"/>
        <v/>
      </c>
      <c r="L41" s="75"/>
      <c r="M41" s="62">
        <v>0</v>
      </c>
      <c r="N41" s="63"/>
      <c r="O41" s="62">
        <f t="shared" si="16"/>
        <v>0</v>
      </c>
      <c r="P41" s="62"/>
      <c r="Q41" s="63"/>
      <c r="R41" s="63"/>
      <c r="S41" s="63"/>
      <c r="T41" s="63"/>
      <c r="U41" s="63"/>
      <c r="V41" s="63"/>
      <c r="W41" s="63"/>
    </row>
    <row r="42" spans="1:23" x14ac:dyDescent="0.3">
      <c r="A42" s="60">
        <v>37</v>
      </c>
      <c r="B42" s="71" t="s">
        <v>67</v>
      </c>
      <c r="C42" s="62">
        <f>SUMIF('Leadsheet 31.12'!G:G,'Stato patrimoniale'!B42,'Leadsheet 31.12'!D:D)</f>
        <v>447372.13</v>
      </c>
      <c r="D42" s="63"/>
      <c r="E42" s="62">
        <v>447372</v>
      </c>
      <c r="F42" s="62">
        <f t="shared" si="14"/>
        <v>-0.13000000000465661</v>
      </c>
      <c r="G42" s="63"/>
      <c r="H42" s="62">
        <f t="shared" si="15"/>
        <v>447372.13</v>
      </c>
      <c r="I42" s="62">
        <f>SUMIF('Leadsheet 31.12'!G:G,'Stato patrimoniale'!B42,'Leadsheet 31.12'!E:E)</f>
        <v>548099.81000000006</v>
      </c>
      <c r="J42" s="62">
        <f t="shared" si="0"/>
        <v>-100727.68000000005</v>
      </c>
      <c r="K42" s="64">
        <f t="shared" si="1"/>
        <v>-0.18377616295834884</v>
      </c>
      <c r="L42" s="63"/>
      <c r="M42" s="62">
        <v>548100</v>
      </c>
      <c r="N42" s="63"/>
      <c r="O42" s="62">
        <f t="shared" si="16"/>
        <v>0.18999999994412065</v>
      </c>
      <c r="P42" s="62">
        <v>480000</v>
      </c>
      <c r="Q42" s="63"/>
      <c r="R42" s="63"/>
      <c r="S42" s="63"/>
      <c r="T42" s="63"/>
      <c r="U42" s="63"/>
      <c r="V42" s="63"/>
      <c r="W42" s="63"/>
    </row>
    <row r="43" spans="1:23" x14ac:dyDescent="0.3">
      <c r="A43" s="60">
        <v>38</v>
      </c>
      <c r="B43" s="71" t="s">
        <v>68</v>
      </c>
      <c r="C43" s="62">
        <f>SUMIF('Leadsheet 31.12'!G:G,'Stato patrimoniale'!B43,'Leadsheet 31.12'!D:D)</f>
        <v>245689.04</v>
      </c>
      <c r="D43" s="63"/>
      <c r="E43" s="62">
        <v>245689</v>
      </c>
      <c r="F43" s="62">
        <f t="shared" si="14"/>
        <v>-4.0000000008149073E-2</v>
      </c>
      <c r="G43" s="63"/>
      <c r="H43" s="62">
        <f t="shared" si="15"/>
        <v>245689.04</v>
      </c>
      <c r="I43" s="62">
        <f>SUMIF('Leadsheet 31.12'!G:G,'Stato patrimoniale'!B43,'Leadsheet 31.12'!E:E)</f>
        <v>37486.170000000006</v>
      </c>
      <c r="J43" s="62">
        <f t="shared" si="0"/>
        <v>208202.87</v>
      </c>
      <c r="K43" s="64">
        <f t="shared" si="1"/>
        <v>5.5541248945944588</v>
      </c>
      <c r="L43" s="63"/>
      <c r="M43" s="62">
        <v>37617</v>
      </c>
      <c r="N43" s="63"/>
      <c r="O43" s="62">
        <f t="shared" si="16"/>
        <v>130.82999999999447</v>
      </c>
      <c r="P43" s="62">
        <v>355926</v>
      </c>
      <c r="Q43" s="63"/>
      <c r="R43" s="63"/>
      <c r="S43" s="63"/>
      <c r="T43" s="63"/>
      <c r="U43" s="63"/>
      <c r="V43" s="63"/>
      <c r="W43" s="63"/>
    </row>
    <row r="44" spans="1:23" s="76" customFormat="1" hidden="1" x14ac:dyDescent="0.3">
      <c r="A44" s="60"/>
      <c r="B44" s="74" t="s">
        <v>69</v>
      </c>
      <c r="C44" s="62">
        <f>SUMIF('Leadsheet 31.12'!G:G,'Stato patrimoniale'!B44,'Leadsheet 31.12'!D:D)</f>
        <v>0</v>
      </c>
      <c r="D44" s="63"/>
      <c r="E44" s="62">
        <v>0</v>
      </c>
      <c r="F44" s="62">
        <f t="shared" si="14"/>
        <v>0</v>
      </c>
      <c r="G44" s="63"/>
      <c r="H44" s="62">
        <f t="shared" si="15"/>
        <v>0</v>
      </c>
      <c r="I44" s="62">
        <f>SUMIF('Leadsheet 31.12'!G:G,'Stato patrimoniale'!B44,'Leadsheet 31.12'!E:E)</f>
        <v>0</v>
      </c>
      <c r="J44" s="62">
        <f t="shared" si="0"/>
        <v>0</v>
      </c>
      <c r="K44" s="64" t="str">
        <f t="shared" si="1"/>
        <v/>
      </c>
      <c r="L44" s="75"/>
      <c r="M44" s="62">
        <v>0</v>
      </c>
      <c r="N44" s="63"/>
      <c r="O44" s="62">
        <f t="shared" si="16"/>
        <v>0</v>
      </c>
      <c r="P44" s="62"/>
      <c r="Q44" s="63"/>
      <c r="R44" s="63"/>
      <c r="S44" s="63"/>
      <c r="T44" s="63"/>
      <c r="U44" s="63"/>
      <c r="V44" s="63"/>
      <c r="W44" s="63"/>
    </row>
    <row r="45" spans="1:23" s="76" customFormat="1" hidden="1" x14ac:dyDescent="0.3">
      <c r="A45" s="60"/>
      <c r="B45" s="74" t="s">
        <v>70</v>
      </c>
      <c r="C45" s="62">
        <f>SUMIF('Leadsheet 31.12'!G:G,'Stato patrimoniale'!B45,'Leadsheet 31.12'!D:D)</f>
        <v>0</v>
      </c>
      <c r="D45" s="63"/>
      <c r="E45" s="62">
        <v>0</v>
      </c>
      <c r="F45" s="62">
        <f t="shared" si="14"/>
        <v>0</v>
      </c>
      <c r="G45" s="63"/>
      <c r="H45" s="62">
        <f t="shared" si="15"/>
        <v>0</v>
      </c>
      <c r="I45" s="62">
        <f>SUMIF('Leadsheet 31.12'!G:G,'Stato patrimoniale'!B45,'Leadsheet 31.12'!E:E)</f>
        <v>0</v>
      </c>
      <c r="J45" s="62">
        <f t="shared" si="0"/>
        <v>0</v>
      </c>
      <c r="K45" s="64" t="str">
        <f t="shared" si="1"/>
        <v/>
      </c>
      <c r="L45" s="75"/>
      <c r="M45" s="62">
        <v>0</v>
      </c>
      <c r="N45" s="63"/>
      <c r="O45" s="62">
        <f t="shared" si="16"/>
        <v>0</v>
      </c>
      <c r="P45" s="62"/>
      <c r="Q45" s="63"/>
      <c r="R45" s="63"/>
      <c r="S45" s="63"/>
      <c r="T45" s="63"/>
      <c r="U45" s="63"/>
      <c r="V45" s="63"/>
      <c r="W45" s="63"/>
    </row>
    <row r="46" spans="1:23" s="76" customFormat="1" hidden="1" x14ac:dyDescent="0.3">
      <c r="A46" s="60"/>
      <c r="B46" s="74"/>
      <c r="C46" s="77"/>
      <c r="D46" s="75"/>
      <c r="E46" s="62"/>
      <c r="F46" s="62"/>
      <c r="G46" s="63"/>
      <c r="H46" s="77"/>
      <c r="I46" s="62"/>
      <c r="J46" s="62"/>
      <c r="K46" s="64"/>
      <c r="L46" s="75"/>
      <c r="M46" s="62"/>
      <c r="N46" s="63"/>
      <c r="O46" s="62"/>
      <c r="P46" s="62"/>
      <c r="Q46" s="63"/>
      <c r="R46" s="63"/>
      <c r="S46" s="63"/>
      <c r="T46" s="63"/>
      <c r="U46" s="63"/>
      <c r="V46" s="63"/>
      <c r="W46" s="63"/>
    </row>
    <row r="47" spans="1:23" s="79" customFormat="1" hidden="1" x14ac:dyDescent="0.3">
      <c r="A47" s="78"/>
      <c r="B47" s="61" t="s">
        <v>71</v>
      </c>
      <c r="C47" s="67">
        <f>C48</f>
        <v>0</v>
      </c>
      <c r="D47" s="68"/>
      <c r="E47" s="67">
        <v>0</v>
      </c>
      <c r="F47" s="67">
        <f>E47-C47</f>
        <v>0</v>
      </c>
      <c r="G47" s="68"/>
      <c r="H47" s="67">
        <f>C47</f>
        <v>0</v>
      </c>
      <c r="I47" s="67">
        <f>I48</f>
        <v>0</v>
      </c>
      <c r="J47" s="67">
        <f t="shared" si="0"/>
        <v>0</v>
      </c>
      <c r="K47" s="69" t="str">
        <f t="shared" si="1"/>
        <v/>
      </c>
      <c r="L47" s="68"/>
      <c r="M47" s="67">
        <v>0</v>
      </c>
      <c r="N47" s="68"/>
      <c r="O47" s="67">
        <f t="shared" ref="O47:O48" si="17">+M47-I47</f>
        <v>0</v>
      </c>
      <c r="P47" s="67">
        <f>P48</f>
        <v>7</v>
      </c>
      <c r="Q47" s="68"/>
      <c r="R47" s="68"/>
      <c r="S47" s="68"/>
      <c r="T47" s="68"/>
      <c r="U47" s="68"/>
      <c r="V47" s="68"/>
      <c r="W47" s="68"/>
    </row>
    <row r="48" spans="1:23" s="76" customFormat="1" hidden="1" x14ac:dyDescent="0.3">
      <c r="A48" s="60">
        <v>40</v>
      </c>
      <c r="B48" s="71" t="s">
        <v>72</v>
      </c>
      <c r="C48" s="62">
        <f>SUMIF('Leadsheet 31.12'!G:G,'Stato patrimoniale'!B48,'Leadsheet 31.12'!D:D)</f>
        <v>0</v>
      </c>
      <c r="D48" s="63"/>
      <c r="E48" s="62">
        <v>0</v>
      </c>
      <c r="F48" s="62">
        <f>E48-C48</f>
        <v>0</v>
      </c>
      <c r="G48" s="63"/>
      <c r="H48" s="62">
        <f>C48</f>
        <v>0</v>
      </c>
      <c r="I48" s="62">
        <f>SUMIF('Leadsheet 31.12'!G:G,'Stato patrimoniale'!B48,'Leadsheet 31.12'!E:E)</f>
        <v>0</v>
      </c>
      <c r="J48" s="62">
        <f t="shared" si="0"/>
        <v>0</v>
      </c>
      <c r="K48" s="64" t="str">
        <f t="shared" si="1"/>
        <v/>
      </c>
      <c r="L48" s="63"/>
      <c r="M48" s="62">
        <v>0</v>
      </c>
      <c r="N48" s="63"/>
      <c r="O48" s="62">
        <f t="shared" si="17"/>
        <v>0</v>
      </c>
      <c r="P48" s="62">
        <v>7</v>
      </c>
      <c r="Q48" s="63"/>
      <c r="R48" s="63"/>
      <c r="S48" s="63"/>
      <c r="T48" s="63"/>
      <c r="U48" s="63"/>
      <c r="V48" s="63"/>
      <c r="W48" s="63"/>
    </row>
    <row r="49" spans="1:23" hidden="1" x14ac:dyDescent="0.3">
      <c r="A49" s="60"/>
      <c r="B49" s="65"/>
      <c r="C49" s="66"/>
      <c r="E49" s="66"/>
      <c r="F49" s="66"/>
      <c r="H49" s="66"/>
      <c r="I49" s="66"/>
      <c r="J49" s="66"/>
      <c r="K49" s="64"/>
      <c r="M49" s="66"/>
      <c r="O49" s="66"/>
      <c r="P49" s="66"/>
    </row>
    <row r="50" spans="1:23" s="70" customFormat="1" x14ac:dyDescent="0.3">
      <c r="A50" s="60">
        <v>42</v>
      </c>
      <c r="B50" s="61" t="s">
        <v>73</v>
      </c>
      <c r="C50" s="67">
        <f>SUM(C51:C53)</f>
        <v>728702.99999999988</v>
      </c>
      <c r="D50" s="68"/>
      <c r="E50" s="67">
        <v>728703</v>
      </c>
      <c r="F50" s="67">
        <f>E50-C50</f>
        <v>0</v>
      </c>
      <c r="G50" s="68"/>
      <c r="H50" s="67">
        <f>C50</f>
        <v>728702.99999999988</v>
      </c>
      <c r="I50" s="67">
        <f>SUM(I51:I53)</f>
        <v>-763166.31</v>
      </c>
      <c r="J50" s="67">
        <f t="shared" si="0"/>
        <v>1491869.31</v>
      </c>
      <c r="K50" s="69">
        <f t="shared" si="1"/>
        <v>-1.9548416779561455</v>
      </c>
      <c r="L50" s="68"/>
      <c r="M50" s="67">
        <v>827041</v>
      </c>
      <c r="N50" s="68"/>
      <c r="O50" s="67">
        <f t="shared" ref="O50:O53" si="18">+M50-I50</f>
        <v>1590207.31</v>
      </c>
      <c r="P50" s="67">
        <v>686205</v>
      </c>
      <c r="Q50" s="68"/>
      <c r="R50" s="68"/>
      <c r="S50" s="68"/>
      <c r="T50" s="68"/>
      <c r="U50" s="68"/>
      <c r="V50" s="68"/>
      <c r="W50" s="68"/>
    </row>
    <row r="51" spans="1:23" x14ac:dyDescent="0.3">
      <c r="A51" s="60">
        <v>43</v>
      </c>
      <c r="B51" s="71" t="s">
        <v>74</v>
      </c>
      <c r="C51" s="62">
        <f>SUMIF('Leadsheet 31.12'!G:G,'Stato patrimoniale'!B51,'Leadsheet 31.12'!D:D)</f>
        <v>638857.64999999991</v>
      </c>
      <c r="D51" s="63"/>
      <c r="E51" s="62">
        <v>638858</v>
      </c>
      <c r="F51" s="62">
        <f>E51-C51</f>
        <v>0.35000000009313226</v>
      </c>
      <c r="G51" s="63"/>
      <c r="H51" s="62">
        <f>C51</f>
        <v>638857.64999999991</v>
      </c>
      <c r="I51" s="62">
        <f>SUMIF('Leadsheet 31.12'!G:G,'Stato patrimoniale'!B51,'Leadsheet 31.12'!E:E)</f>
        <v>-767739.31</v>
      </c>
      <c r="J51" s="62">
        <f t="shared" si="0"/>
        <v>1406596.96</v>
      </c>
      <c r="K51" s="64">
        <f t="shared" si="1"/>
        <v>-1.8321283561733994</v>
      </c>
      <c r="L51" s="63"/>
      <c r="M51" s="62">
        <v>822258</v>
      </c>
      <c r="N51" s="63"/>
      <c r="O51" s="62">
        <f t="shared" si="18"/>
        <v>1589997.31</v>
      </c>
      <c r="P51" s="62">
        <v>681244</v>
      </c>
      <c r="Q51" s="63"/>
      <c r="R51" s="63"/>
      <c r="S51" s="63"/>
      <c r="T51" s="63"/>
      <c r="U51" s="63"/>
      <c r="V51" s="63"/>
      <c r="W51" s="63"/>
    </row>
    <row r="52" spans="1:23" x14ac:dyDescent="0.3">
      <c r="A52" s="60">
        <v>44</v>
      </c>
      <c r="B52" s="71" t="s">
        <v>75</v>
      </c>
      <c r="C52" s="62">
        <f>SUMIF('Leadsheet 31.12'!G:G,'Stato patrimoniale'!B52,'Leadsheet 31.12'!D:D)</f>
        <v>84138.38</v>
      </c>
      <c r="D52" s="63"/>
      <c r="E52" s="62">
        <v>84138</v>
      </c>
      <c r="F52" s="62">
        <f>E52-C52</f>
        <v>-0.38000000000465661</v>
      </c>
      <c r="G52" s="63"/>
      <c r="H52" s="62">
        <f>C52</f>
        <v>84138.38</v>
      </c>
      <c r="I52" s="62">
        <f>SUMIF('Leadsheet 31.12'!G:G,'Stato patrimoniale'!B52,'Leadsheet 31.12'!E:E)</f>
        <v>494</v>
      </c>
      <c r="J52" s="62">
        <f t="shared" si="0"/>
        <v>83644.38</v>
      </c>
      <c r="K52" s="64">
        <f t="shared" si="1"/>
        <v>169.32060728744941</v>
      </c>
      <c r="L52" s="63"/>
      <c r="M52" s="62">
        <v>494</v>
      </c>
      <c r="N52" s="63"/>
      <c r="O52" s="62">
        <f t="shared" si="18"/>
        <v>0</v>
      </c>
      <c r="P52" s="62">
        <v>0</v>
      </c>
      <c r="Q52" s="63"/>
      <c r="R52" s="63"/>
      <c r="S52" s="63"/>
      <c r="T52" s="63"/>
      <c r="U52" s="63"/>
      <c r="V52" s="63"/>
      <c r="W52" s="63"/>
    </row>
    <row r="53" spans="1:23" x14ac:dyDescent="0.3">
      <c r="A53" s="60">
        <v>45</v>
      </c>
      <c r="B53" s="71" t="s">
        <v>76</v>
      </c>
      <c r="C53" s="62">
        <f>SUMIF('Leadsheet 31.12'!G:G,'Stato patrimoniale'!B53,'Leadsheet 31.12'!D:D)</f>
        <v>5706.9699999999993</v>
      </c>
      <c r="D53" s="63"/>
      <c r="E53" s="62">
        <v>5707</v>
      </c>
      <c r="F53" s="62">
        <f>E53-C53</f>
        <v>3.0000000000654836E-2</v>
      </c>
      <c r="G53" s="63"/>
      <c r="H53" s="62">
        <f>C53</f>
        <v>5706.9699999999993</v>
      </c>
      <c r="I53" s="62">
        <f>SUMIF('Leadsheet 31.12'!G:G,'Stato patrimoniale'!B53,'Leadsheet 31.12'!E:E)</f>
        <v>4079</v>
      </c>
      <c r="J53" s="62">
        <f t="shared" si="0"/>
        <v>1627.9699999999993</v>
      </c>
      <c r="K53" s="64">
        <f t="shared" si="1"/>
        <v>0.39911007599901921</v>
      </c>
      <c r="L53" s="63"/>
      <c r="M53" s="62">
        <v>4289</v>
      </c>
      <c r="N53" s="63"/>
      <c r="O53" s="62">
        <f t="shared" si="18"/>
        <v>210</v>
      </c>
      <c r="P53" s="62">
        <v>4961</v>
      </c>
      <c r="Q53" s="63"/>
      <c r="R53" s="63"/>
      <c r="S53" s="63"/>
      <c r="T53" s="63"/>
      <c r="U53" s="63"/>
      <c r="V53" s="63"/>
      <c r="W53" s="63"/>
    </row>
    <row r="54" spans="1:23" hidden="1" x14ac:dyDescent="0.3">
      <c r="A54" s="60"/>
      <c r="B54" s="65"/>
      <c r="C54" s="66"/>
      <c r="E54" s="66"/>
      <c r="F54" s="66"/>
      <c r="H54" s="66"/>
      <c r="I54" s="66"/>
      <c r="J54" s="66"/>
      <c r="K54" s="64"/>
      <c r="M54" s="66"/>
      <c r="O54" s="66"/>
      <c r="P54" s="66"/>
    </row>
    <row r="55" spans="1:23" s="70" customFormat="1" x14ac:dyDescent="0.3">
      <c r="A55" s="78">
        <v>47</v>
      </c>
      <c r="B55" s="61" t="s">
        <v>77</v>
      </c>
      <c r="C55" s="67">
        <f>SUMIF('Leadsheet 31.12'!G:G,'Stato patrimoniale'!B55,'Leadsheet 31.12'!D:D)</f>
        <v>87902.1</v>
      </c>
      <c r="D55" s="68"/>
      <c r="E55" s="67">
        <v>87902</v>
      </c>
      <c r="F55" s="67">
        <f>E55-C55</f>
        <v>-0.10000000000582077</v>
      </c>
      <c r="G55" s="68"/>
      <c r="H55" s="67">
        <f>C55</f>
        <v>87902.1</v>
      </c>
      <c r="I55" s="67">
        <f>SUMIF('Leadsheet 31.12'!G:G,'Stato patrimoniale'!B55,'Leadsheet 31.12'!E:E)</f>
        <v>96673.4</v>
      </c>
      <c r="J55" s="67">
        <f t="shared" si="0"/>
        <v>-8771.2999999999884</v>
      </c>
      <c r="K55" s="69">
        <f t="shared" si="1"/>
        <v>-9.0731266304898653E-2</v>
      </c>
      <c r="L55" s="68"/>
      <c r="M55" s="67">
        <v>96673</v>
      </c>
      <c r="N55" s="68"/>
      <c r="O55" s="67">
        <f>+M55-I55</f>
        <v>-0.39999999999417923</v>
      </c>
      <c r="P55" s="67">
        <v>85098</v>
      </c>
      <c r="Q55" s="68"/>
      <c r="R55" s="68"/>
      <c r="S55" s="68"/>
      <c r="T55" s="68"/>
      <c r="U55" s="68"/>
      <c r="V55" s="68"/>
      <c r="W55" s="68"/>
    </row>
    <row r="56" spans="1:23" x14ac:dyDescent="0.3">
      <c r="A56" s="60"/>
      <c r="B56" s="65"/>
      <c r="C56" s="66"/>
      <c r="E56" s="66"/>
      <c r="F56" s="66"/>
      <c r="H56" s="66"/>
      <c r="I56" s="66"/>
      <c r="J56" s="66"/>
      <c r="K56" s="64"/>
      <c r="M56" s="66"/>
      <c r="O56" s="66"/>
      <c r="P56" s="66"/>
    </row>
    <row r="57" spans="1:23" s="52" customFormat="1" ht="28.8" x14ac:dyDescent="0.3">
      <c r="A57" s="34"/>
      <c r="B57" s="45" t="s">
        <v>23</v>
      </c>
      <c r="C57" s="46" t="s">
        <v>24</v>
      </c>
      <c r="D57" s="47"/>
      <c r="E57" s="46" t="s">
        <v>25</v>
      </c>
      <c r="F57" s="46" t="s">
        <v>26</v>
      </c>
      <c r="G57" s="47"/>
      <c r="H57" s="46" t="s">
        <v>27</v>
      </c>
      <c r="I57" s="46" t="s">
        <v>28</v>
      </c>
      <c r="J57" s="48" t="s">
        <v>29</v>
      </c>
      <c r="K57" s="49" t="s">
        <v>30</v>
      </c>
      <c r="L57" s="50"/>
      <c r="M57" s="46" t="s">
        <v>31</v>
      </c>
      <c r="N57" s="47"/>
      <c r="O57" s="46" t="s">
        <v>32</v>
      </c>
      <c r="P57" s="46" t="s">
        <v>33</v>
      </c>
      <c r="Q57" s="51"/>
      <c r="R57" s="51"/>
      <c r="S57" s="51"/>
      <c r="T57" s="51"/>
      <c r="U57" s="51"/>
      <c r="V57" s="51"/>
      <c r="W57" s="51"/>
    </row>
    <row r="58" spans="1:23" x14ac:dyDescent="0.3">
      <c r="A58" s="60">
        <v>49</v>
      </c>
      <c r="B58" s="80" t="s">
        <v>78</v>
      </c>
      <c r="C58" s="81">
        <f>C60+C72+C78+C80+C89</f>
        <v>38807610.339999974</v>
      </c>
      <c r="D58" s="82"/>
      <c r="E58" s="81">
        <v>38807611</v>
      </c>
      <c r="F58" s="81">
        <f>E58-C58</f>
        <v>0.6600000262260437</v>
      </c>
      <c r="G58" s="82"/>
      <c r="H58" s="81">
        <f>C58</f>
        <v>38807610.339999974</v>
      </c>
      <c r="I58" s="81">
        <f>I60+I72+I78+I80+I89</f>
        <v>42516236.870000035</v>
      </c>
      <c r="J58" s="81">
        <f t="shared" si="0"/>
        <v>-3708626.5300000608</v>
      </c>
      <c r="K58" s="83">
        <f t="shared" si="1"/>
        <v>-8.7228475590155341E-2</v>
      </c>
      <c r="L58" s="82"/>
      <c r="M58" s="81">
        <f>M60+M72+M78+M80+M89</f>
        <v>44106576</v>
      </c>
      <c r="N58" s="82"/>
      <c r="O58" s="81">
        <f>+M58-I58</f>
        <v>1590339.1299999654</v>
      </c>
      <c r="P58" s="81">
        <f>P60+P72+P78+P80+P89</f>
        <v>33381312</v>
      </c>
      <c r="Q58" s="82"/>
      <c r="R58" s="82"/>
      <c r="S58" s="82"/>
      <c r="T58" s="82"/>
      <c r="U58" s="82"/>
      <c r="V58" s="82"/>
      <c r="W58" s="82"/>
    </row>
    <row r="59" spans="1:23" hidden="1" x14ac:dyDescent="0.3">
      <c r="A59" s="60"/>
      <c r="B59" s="65"/>
      <c r="C59" s="66"/>
      <c r="E59" s="66"/>
      <c r="F59" s="66"/>
      <c r="H59" s="66"/>
      <c r="I59" s="66"/>
      <c r="J59" s="66"/>
      <c r="K59" s="64"/>
      <c r="M59" s="66"/>
      <c r="O59" s="66"/>
      <c r="P59" s="66"/>
    </row>
    <row r="60" spans="1:23" s="70" customFormat="1" x14ac:dyDescent="0.3">
      <c r="A60" s="60">
        <v>51</v>
      </c>
      <c r="B60" s="61" t="s">
        <v>79</v>
      </c>
      <c r="C60" s="67">
        <f>SUM(C61:C70)</f>
        <v>9527349.5699999742</v>
      </c>
      <c r="D60" s="68"/>
      <c r="E60" s="67">
        <v>9527350</v>
      </c>
      <c r="F60" s="67">
        <f t="shared" ref="F60:F70" si="19">E60-C60</f>
        <v>0.43000002577900887</v>
      </c>
      <c r="G60" s="68"/>
      <c r="H60" s="67">
        <f t="shared" ref="H60:H70" si="20">C60</f>
        <v>9527349.5699999742</v>
      </c>
      <c r="I60" s="67">
        <f>SUM(I61:I70)</f>
        <v>9103825.8400000371</v>
      </c>
      <c r="J60" s="67">
        <f t="shared" si="0"/>
        <v>423523.72999993712</v>
      </c>
      <c r="K60" s="69">
        <f t="shared" si="1"/>
        <v>4.6521510565269708E-2</v>
      </c>
      <c r="L60" s="68"/>
      <c r="M60" s="67">
        <v>9103828</v>
      </c>
      <c r="N60" s="68"/>
      <c r="O60" s="67">
        <f t="shared" ref="O60:O70" si="21">+M60-I60</f>
        <v>2.1599999628961086</v>
      </c>
      <c r="P60" s="67">
        <v>8169574</v>
      </c>
      <c r="Q60" s="68"/>
      <c r="R60" s="68"/>
      <c r="S60" s="68"/>
      <c r="T60" s="68"/>
      <c r="U60" s="68"/>
      <c r="V60" s="68"/>
      <c r="W60" s="68"/>
    </row>
    <row r="61" spans="1:23" x14ac:dyDescent="0.3">
      <c r="A61" s="60">
        <v>52</v>
      </c>
      <c r="B61" s="71" t="s">
        <v>80</v>
      </c>
      <c r="C61" s="62">
        <f>SUMIF('Leadsheet 31.12'!G:G,'Stato patrimoniale'!B61,'Leadsheet 31.12'!D:D)*-1</f>
        <v>2500000</v>
      </c>
      <c r="D61" s="63"/>
      <c r="E61" s="62">
        <v>2500000</v>
      </c>
      <c r="F61" s="62">
        <f t="shared" si="19"/>
        <v>0</v>
      </c>
      <c r="G61" s="63"/>
      <c r="H61" s="62">
        <f t="shared" si="20"/>
        <v>2500000</v>
      </c>
      <c r="I61" s="62">
        <f>SUMIF('Leadsheet 31.12'!G:G,'Stato patrimoniale'!B61,'Leadsheet 31.12'!E:E)*-1</f>
        <v>2500000</v>
      </c>
      <c r="J61" s="62">
        <f t="shared" si="0"/>
        <v>0</v>
      </c>
      <c r="K61" s="64">
        <f t="shared" si="1"/>
        <v>0</v>
      </c>
      <c r="L61" s="63"/>
      <c r="M61" s="62">
        <v>2500000</v>
      </c>
      <c r="N61" s="63"/>
      <c r="O61" s="62">
        <f t="shared" si="21"/>
        <v>0</v>
      </c>
      <c r="P61" s="62">
        <v>2500000</v>
      </c>
      <c r="Q61" s="63"/>
      <c r="R61" s="63"/>
      <c r="S61" s="63"/>
      <c r="T61" s="63"/>
      <c r="U61" s="63"/>
      <c r="V61" s="63"/>
      <c r="W61" s="63"/>
    </row>
    <row r="62" spans="1:23" x14ac:dyDescent="0.3">
      <c r="A62" s="60">
        <v>53</v>
      </c>
      <c r="B62" s="71" t="s">
        <v>81</v>
      </c>
      <c r="C62" s="62">
        <f>SUMIF('Leadsheet 31.12'!G:G,'Stato patrimoniale'!B62,'Leadsheet 31.12'!D:D)*-1</f>
        <v>0</v>
      </c>
      <c r="D62" s="63"/>
      <c r="E62" s="62">
        <v>0</v>
      </c>
      <c r="F62" s="62">
        <f t="shared" si="19"/>
        <v>0</v>
      </c>
      <c r="G62" s="63"/>
      <c r="H62" s="62">
        <f t="shared" si="20"/>
        <v>0</v>
      </c>
      <c r="I62" s="62">
        <f>SUMIF('Leadsheet 31.12'!G:G,'Stato patrimoniale'!B62,'Leadsheet 31.12'!E:E)*-1</f>
        <v>0</v>
      </c>
      <c r="J62" s="62">
        <f t="shared" si="0"/>
        <v>0</v>
      </c>
      <c r="K62" s="64" t="str">
        <f t="shared" si="1"/>
        <v/>
      </c>
      <c r="L62" s="63"/>
      <c r="M62" s="62">
        <v>0</v>
      </c>
      <c r="N62" s="63"/>
      <c r="O62" s="62">
        <f t="shared" si="21"/>
        <v>0</v>
      </c>
      <c r="P62" s="62">
        <v>0</v>
      </c>
      <c r="Q62" s="63"/>
      <c r="R62" s="63"/>
      <c r="S62" s="63"/>
      <c r="T62" s="63"/>
      <c r="U62" s="63"/>
      <c r="V62" s="63"/>
      <c r="W62" s="63"/>
    </row>
    <row r="63" spans="1:23" x14ac:dyDescent="0.3">
      <c r="A63" s="60">
        <v>54</v>
      </c>
      <c r="B63" s="71" t="s">
        <v>82</v>
      </c>
      <c r="C63" s="62">
        <f>SUMIF('Leadsheet 31.12'!G:G,'Stato patrimoniale'!B63,'Leadsheet 31.12'!D:D)*-1</f>
        <v>6708337.0999999996</v>
      </c>
      <c r="D63" s="63"/>
      <c r="E63" s="62">
        <v>6708337</v>
      </c>
      <c r="F63" s="62">
        <f t="shared" si="19"/>
        <v>-9.999999962747097E-2</v>
      </c>
      <c r="G63" s="63"/>
      <c r="H63" s="62">
        <f t="shared" si="20"/>
        <v>6708337.0999999996</v>
      </c>
      <c r="I63" s="62">
        <f>SUMIF('Leadsheet 31.12'!G:G,'Stato patrimoniale'!B63,'Leadsheet 31.12'!E:E)*-1</f>
        <v>6226150.0999999996</v>
      </c>
      <c r="J63" s="62">
        <f t="shared" si="0"/>
        <v>482187</v>
      </c>
      <c r="K63" s="64">
        <f t="shared" si="1"/>
        <v>7.7445450600363785E-2</v>
      </c>
      <c r="L63" s="63"/>
      <c r="M63" s="62">
        <v>6226150</v>
      </c>
      <c r="N63" s="63"/>
      <c r="O63" s="62">
        <f t="shared" si="21"/>
        <v>-9.999999962747097E-2</v>
      </c>
      <c r="P63" s="62">
        <v>6157423</v>
      </c>
      <c r="Q63" s="63"/>
      <c r="R63" s="63"/>
      <c r="S63" s="63"/>
      <c r="T63" s="63"/>
      <c r="U63" s="63"/>
      <c r="V63" s="63"/>
      <c r="W63" s="63"/>
    </row>
    <row r="64" spans="1:23" x14ac:dyDescent="0.3">
      <c r="A64" s="60">
        <v>55</v>
      </c>
      <c r="B64" s="71" t="s">
        <v>83</v>
      </c>
      <c r="C64" s="62">
        <f>SUMIF('Leadsheet 31.12'!G:G,'Stato patrimoniale'!B64,'Leadsheet 31.12'!D:D)*-1</f>
        <v>108323.7</v>
      </c>
      <c r="D64" s="63"/>
      <c r="E64" s="62">
        <v>108324</v>
      </c>
      <c r="F64" s="62">
        <f t="shared" si="19"/>
        <v>0.30000000000291038</v>
      </c>
      <c r="G64" s="63"/>
      <c r="H64" s="62">
        <f t="shared" si="20"/>
        <v>108323.7</v>
      </c>
      <c r="I64" s="62">
        <f>SUMIF('Leadsheet 31.12'!G:G,'Stato patrimoniale'!B64,'Leadsheet 31.12'!E:E)*-1</f>
        <v>82945.440000000002</v>
      </c>
      <c r="J64" s="62">
        <f t="shared" si="0"/>
        <v>25378.259999999995</v>
      </c>
      <c r="K64" s="64">
        <f t="shared" si="1"/>
        <v>0.30596329346134032</v>
      </c>
      <c r="L64" s="63"/>
      <c r="M64" s="62">
        <v>82945</v>
      </c>
      <c r="N64" s="63"/>
      <c r="O64" s="62">
        <f t="shared" si="21"/>
        <v>-0.44000000000232831</v>
      </c>
      <c r="P64" s="62">
        <v>79328</v>
      </c>
      <c r="Q64" s="63"/>
      <c r="R64" s="63"/>
      <c r="S64" s="63"/>
      <c r="T64" s="63"/>
      <c r="U64" s="63"/>
      <c r="V64" s="63"/>
      <c r="W64" s="63"/>
    </row>
    <row r="65" spans="1:23" hidden="1" x14ac:dyDescent="0.3">
      <c r="A65" s="60">
        <v>56</v>
      </c>
      <c r="B65" s="71" t="s">
        <v>84</v>
      </c>
      <c r="C65" s="62">
        <f>SUMIF('Leadsheet 31.12'!G:G,'Stato patrimoniale'!B65,'Leadsheet 31.12'!D:D)*-1</f>
        <v>0</v>
      </c>
      <c r="D65" s="63"/>
      <c r="E65" s="62">
        <v>0</v>
      </c>
      <c r="F65" s="62">
        <f t="shared" si="19"/>
        <v>0</v>
      </c>
      <c r="G65" s="63"/>
      <c r="H65" s="62">
        <f t="shared" si="20"/>
        <v>0</v>
      </c>
      <c r="I65" s="62">
        <f>SUMIF('Leadsheet 31.12'!G:G,'Stato patrimoniale'!B65,'Leadsheet 31.12'!E:E)*-1</f>
        <v>0</v>
      </c>
      <c r="J65" s="62">
        <f t="shared" si="0"/>
        <v>0</v>
      </c>
      <c r="K65" s="64" t="str">
        <f t="shared" si="1"/>
        <v/>
      </c>
      <c r="L65" s="63"/>
      <c r="M65" s="62">
        <v>0</v>
      </c>
      <c r="N65" s="63"/>
      <c r="O65" s="62">
        <f t="shared" si="21"/>
        <v>0</v>
      </c>
      <c r="P65" s="62">
        <v>0</v>
      </c>
      <c r="Q65" s="63"/>
      <c r="R65" s="63"/>
      <c r="S65" s="63"/>
      <c r="T65" s="63"/>
      <c r="U65" s="63"/>
      <c r="V65" s="63"/>
      <c r="W65" s="63"/>
    </row>
    <row r="66" spans="1:23" x14ac:dyDescent="0.3">
      <c r="A66" s="60">
        <v>58</v>
      </c>
      <c r="B66" s="71" t="s">
        <v>85</v>
      </c>
      <c r="C66" s="62">
        <f>SUMIF('Leadsheet 31.12'!G:G,'Stato patrimoniale'!B66,'Leadsheet 31.12'!D:D)*-1</f>
        <v>0</v>
      </c>
      <c r="D66" s="63"/>
      <c r="E66" s="62">
        <v>0</v>
      </c>
      <c r="F66" s="62">
        <f t="shared" si="19"/>
        <v>0</v>
      </c>
      <c r="G66" s="63"/>
      <c r="H66" s="62">
        <f t="shared" si="20"/>
        <v>0</v>
      </c>
      <c r="I66" s="62">
        <f>SUMIF('Leadsheet 31.12'!G:G,'Stato patrimoniale'!B66,'Leadsheet 31.12'!E:E)*-1</f>
        <v>0</v>
      </c>
      <c r="J66" s="62">
        <f t="shared" si="0"/>
        <v>0</v>
      </c>
      <c r="K66" s="64" t="str">
        <f t="shared" si="1"/>
        <v/>
      </c>
      <c r="L66" s="63"/>
      <c r="M66" s="62">
        <v>2</v>
      </c>
      <c r="N66" s="63"/>
      <c r="O66" s="62">
        <f t="shared" si="21"/>
        <v>2</v>
      </c>
      <c r="P66" s="62">
        <v>-1</v>
      </c>
      <c r="Q66" s="63"/>
      <c r="R66" s="63"/>
      <c r="S66" s="63"/>
      <c r="T66" s="63"/>
      <c r="U66" s="63"/>
      <c r="V66" s="63"/>
      <c r="W66" s="63"/>
    </row>
    <row r="67" spans="1:23" x14ac:dyDescent="0.3">
      <c r="A67" s="60">
        <v>59</v>
      </c>
      <c r="B67" s="71" t="s">
        <v>86</v>
      </c>
      <c r="C67" s="62">
        <f>SUMIF('Leadsheet 31.12'!G:G,'Stato patrimoniale'!B67,'Leadsheet 31.12'!D:D)*-1</f>
        <v>247658.04</v>
      </c>
      <c r="D67" s="63"/>
      <c r="E67" s="62">
        <v>247658</v>
      </c>
      <c r="F67" s="62">
        <f t="shared" si="19"/>
        <v>-4.0000000008149073E-2</v>
      </c>
      <c r="G67" s="63"/>
      <c r="H67" s="62">
        <f t="shared" si="20"/>
        <v>247658.04</v>
      </c>
      <c r="I67" s="62">
        <f>SUMIF('Leadsheet 31.12'!G:G,'Stato patrimoniale'!B67,'Leadsheet 31.12'!E:E)*-1</f>
        <v>406913.62</v>
      </c>
      <c r="J67" s="62">
        <f t="shared" si="0"/>
        <v>-159255.57999999999</v>
      </c>
      <c r="K67" s="64">
        <f t="shared" si="1"/>
        <v>-0.39137441504169851</v>
      </c>
      <c r="L67" s="63"/>
      <c r="M67" s="62">
        <v>406914</v>
      </c>
      <c r="N67" s="63"/>
      <c r="O67" s="62">
        <f t="shared" si="21"/>
        <v>0.38000000000465661</v>
      </c>
      <c r="P67" s="62">
        <v>-19773</v>
      </c>
      <c r="Q67" s="63"/>
      <c r="R67" s="63"/>
      <c r="S67" s="63"/>
      <c r="T67" s="63"/>
      <c r="U67" s="63"/>
      <c r="V67" s="63"/>
      <c r="W67" s="63"/>
    </row>
    <row r="68" spans="1:23" hidden="1" x14ac:dyDescent="0.3">
      <c r="A68" s="60">
        <v>60</v>
      </c>
      <c r="B68" s="71" t="s">
        <v>87</v>
      </c>
      <c r="C68" s="62">
        <f>SUMIF('Leadsheet 31.12'!G:G,'Stato patrimoniale'!B68,'Leadsheet 31.12'!D:D)*-1</f>
        <v>0</v>
      </c>
      <c r="D68" s="63"/>
      <c r="E68" s="62">
        <v>0</v>
      </c>
      <c r="F68" s="62">
        <f t="shared" si="19"/>
        <v>0</v>
      </c>
      <c r="G68" s="63"/>
      <c r="H68" s="62">
        <f t="shared" si="20"/>
        <v>0</v>
      </c>
      <c r="I68" s="62">
        <f>SUMIF('Leadsheet 31.12'!G:G,'Stato patrimoniale'!B68,'Leadsheet 31.12'!E:E)*-1</f>
        <v>0</v>
      </c>
      <c r="J68" s="62">
        <f t="shared" si="0"/>
        <v>0</v>
      </c>
      <c r="K68" s="64" t="str">
        <f t="shared" si="1"/>
        <v/>
      </c>
      <c r="L68" s="63"/>
      <c r="M68" s="62">
        <v>0</v>
      </c>
      <c r="N68" s="63"/>
      <c r="O68" s="62">
        <f t="shared" si="21"/>
        <v>0</v>
      </c>
      <c r="P68" s="62">
        <v>0</v>
      </c>
      <c r="Q68" s="63"/>
      <c r="R68" s="63"/>
      <c r="S68" s="63"/>
      <c r="T68" s="63"/>
      <c r="U68" s="63"/>
      <c r="V68" s="63"/>
      <c r="W68" s="63"/>
    </row>
    <row r="69" spans="1:23" x14ac:dyDescent="0.3">
      <c r="A69" s="60">
        <v>61</v>
      </c>
      <c r="B69" s="71" t="s">
        <v>88</v>
      </c>
      <c r="C69" s="62">
        <f>-'Leadsheet 31.12'!D6</f>
        <v>582779.00999997556</v>
      </c>
      <c r="D69" s="63"/>
      <c r="E69" s="62">
        <v>582779</v>
      </c>
      <c r="F69" s="62">
        <f t="shared" si="19"/>
        <v>-9.9999755620956421E-3</v>
      </c>
      <c r="G69" s="63"/>
      <c r="H69" s="62">
        <f t="shared" si="20"/>
        <v>582779.00999997556</v>
      </c>
      <c r="I69" s="62">
        <f>-'Leadsheet 31.12'!E6</f>
        <v>507564.96000003815</v>
      </c>
      <c r="J69" s="62">
        <f t="shared" si="0"/>
        <v>75214.049999937415</v>
      </c>
      <c r="K69" s="64">
        <f t="shared" si="1"/>
        <v>0.14818605681513508</v>
      </c>
      <c r="L69" s="63"/>
      <c r="M69" s="62">
        <v>507565</v>
      </c>
      <c r="N69" s="63"/>
      <c r="O69" s="62">
        <f t="shared" si="21"/>
        <v>3.9999961853027344E-2</v>
      </c>
      <c r="P69" s="62">
        <v>72345</v>
      </c>
      <c r="Q69" s="63"/>
      <c r="R69" s="63"/>
      <c r="S69" s="63"/>
      <c r="T69" s="63"/>
      <c r="U69" s="63"/>
      <c r="V69" s="63"/>
      <c r="W69" s="63"/>
    </row>
    <row r="70" spans="1:23" x14ac:dyDescent="0.3">
      <c r="A70" s="60">
        <v>62</v>
      </c>
      <c r="B70" s="71" t="s">
        <v>89</v>
      </c>
      <c r="C70" s="62">
        <f>SUMIF('Leadsheet 31.12'!G:G,'Stato patrimoniale'!B70,'Leadsheet 31.12'!D:D)*-1</f>
        <v>-619748.28</v>
      </c>
      <c r="D70" s="63"/>
      <c r="E70" s="62">
        <v>-619748</v>
      </c>
      <c r="F70" s="62">
        <f t="shared" si="19"/>
        <v>0.28000000002793968</v>
      </c>
      <c r="G70" s="63"/>
      <c r="H70" s="62">
        <f t="shared" si="20"/>
        <v>-619748.28</v>
      </c>
      <c r="I70" s="62">
        <f>SUMIF('Leadsheet 31.12'!G:G,'Stato patrimoniale'!B70,'Leadsheet 31.12'!E:E)*-1</f>
        <v>-619748.28</v>
      </c>
      <c r="J70" s="62">
        <f t="shared" ref="J70:J89" si="22">H70-I70</f>
        <v>0</v>
      </c>
      <c r="K70" s="64">
        <f t="shared" si="1"/>
        <v>0</v>
      </c>
      <c r="L70" s="63"/>
      <c r="M70" s="62">
        <v>-619748</v>
      </c>
      <c r="N70" s="63"/>
      <c r="O70" s="62">
        <f t="shared" si="21"/>
        <v>0.28000000002793968</v>
      </c>
      <c r="P70" s="62">
        <v>-619748</v>
      </c>
      <c r="Q70" s="63"/>
      <c r="R70" s="63"/>
      <c r="S70" s="63"/>
      <c r="T70" s="63"/>
      <c r="U70" s="63"/>
      <c r="V70" s="63"/>
      <c r="W70" s="63"/>
    </row>
    <row r="71" spans="1:23" hidden="1" x14ac:dyDescent="0.3">
      <c r="A71" s="60"/>
      <c r="B71" s="65"/>
      <c r="C71" s="66"/>
      <c r="E71" s="66"/>
      <c r="F71" s="66"/>
      <c r="H71" s="66"/>
      <c r="I71" s="66"/>
      <c r="J71" s="66"/>
      <c r="K71" s="64"/>
      <c r="M71" s="66"/>
      <c r="O71" s="66"/>
      <c r="P71" s="66"/>
    </row>
    <row r="72" spans="1:23" s="70" customFormat="1" x14ac:dyDescent="0.3">
      <c r="A72" s="60">
        <v>64</v>
      </c>
      <c r="B72" s="61" t="s">
        <v>90</v>
      </c>
      <c r="C72" s="67">
        <f>SUM(C73:C76)</f>
        <v>551503.11</v>
      </c>
      <c r="D72" s="68"/>
      <c r="E72" s="67">
        <v>551503</v>
      </c>
      <c r="F72" s="67">
        <f>E72-C72</f>
        <v>-0.10999999998603016</v>
      </c>
      <c r="G72" s="68"/>
      <c r="H72" s="67">
        <f>C72</f>
        <v>551503.11</v>
      </c>
      <c r="I72" s="67">
        <f>SUM(I73:I76)</f>
        <v>532108.72</v>
      </c>
      <c r="J72" s="67">
        <f t="shared" si="22"/>
        <v>19394.390000000014</v>
      </c>
      <c r="K72" s="69">
        <f t="shared" ref="K72:K89" si="23">IFERROR(J72/I72,"")</f>
        <v>3.6448171719493744E-2</v>
      </c>
      <c r="L72" s="68"/>
      <c r="M72" s="67">
        <v>532109</v>
      </c>
      <c r="N72" s="68"/>
      <c r="O72" s="67">
        <f t="shared" ref="O72:O76" si="24">+M72-I72</f>
        <v>0.28000000002793968</v>
      </c>
      <c r="P72" s="67">
        <v>541085</v>
      </c>
      <c r="Q72" s="68"/>
      <c r="R72" s="68"/>
      <c r="S72" s="68"/>
      <c r="T72" s="68"/>
      <c r="U72" s="68"/>
      <c r="V72" s="68"/>
      <c r="W72" s="68"/>
    </row>
    <row r="73" spans="1:23" x14ac:dyDescent="0.3">
      <c r="A73" s="60">
        <v>65</v>
      </c>
      <c r="B73" s="71" t="s">
        <v>91</v>
      </c>
      <c r="C73" s="62">
        <f>SUMIF('Leadsheet 31.12'!G:G,'Stato patrimoniale'!B73,'Leadsheet 31.12'!D:D)*-1</f>
        <v>176717.11</v>
      </c>
      <c r="D73" s="63"/>
      <c r="E73" s="62">
        <v>176717</v>
      </c>
      <c r="F73" s="62">
        <f>E73-C73</f>
        <v>-0.10999999998603016</v>
      </c>
      <c r="G73" s="63"/>
      <c r="H73" s="62">
        <f>C73</f>
        <v>176717.11</v>
      </c>
      <c r="I73" s="62">
        <f>SUMIF('Leadsheet 31.12'!G:G,'Stato patrimoniale'!B73,'Leadsheet 31.12'!E:E)*-1</f>
        <v>157322.72</v>
      </c>
      <c r="J73" s="62">
        <f t="shared" si="22"/>
        <v>19394.389999999985</v>
      </c>
      <c r="K73" s="64">
        <f t="shared" si="23"/>
        <v>0.12327774399018772</v>
      </c>
      <c r="L73" s="63"/>
      <c r="M73" s="62">
        <v>157323</v>
      </c>
      <c r="N73" s="63"/>
      <c r="O73" s="62">
        <f t="shared" si="24"/>
        <v>0.27999999999883585</v>
      </c>
      <c r="P73" s="62">
        <v>132971</v>
      </c>
      <c r="Q73" s="63"/>
      <c r="R73" s="63"/>
      <c r="S73" s="63"/>
      <c r="T73" s="63"/>
      <c r="U73" s="63"/>
      <c r="V73" s="63"/>
      <c r="W73" s="63"/>
    </row>
    <row r="74" spans="1:23" x14ac:dyDescent="0.3">
      <c r="A74" s="60">
        <v>66</v>
      </c>
      <c r="B74" s="71" t="s">
        <v>92</v>
      </c>
      <c r="C74" s="62">
        <f>SUMIF('Leadsheet 31.12'!G:G,'Stato patrimoniale'!B74,'Leadsheet 31.12'!D:D)*-1</f>
        <v>374786</v>
      </c>
      <c r="D74" s="63"/>
      <c r="E74" s="62">
        <v>374786</v>
      </c>
      <c r="F74" s="62">
        <f>E74-C74</f>
        <v>0</v>
      </c>
      <c r="G74" s="63"/>
      <c r="H74" s="62">
        <f>C74</f>
        <v>374786</v>
      </c>
      <c r="I74" s="62">
        <f>SUMIF('Leadsheet 31.12'!G:G,'Stato patrimoniale'!B74,'Leadsheet 31.12'!E:E)*-1</f>
        <v>374786</v>
      </c>
      <c r="J74" s="62">
        <f t="shared" si="22"/>
        <v>0</v>
      </c>
      <c r="K74" s="64">
        <f t="shared" si="23"/>
        <v>0</v>
      </c>
      <c r="L74" s="63"/>
      <c r="M74" s="62">
        <v>374786</v>
      </c>
      <c r="N74" s="63"/>
      <c r="O74" s="62">
        <f t="shared" si="24"/>
        <v>0</v>
      </c>
      <c r="P74" s="62">
        <v>374786</v>
      </c>
      <c r="Q74" s="63"/>
      <c r="R74" s="63"/>
      <c r="S74" s="63"/>
      <c r="T74" s="63"/>
      <c r="U74" s="63"/>
      <c r="V74" s="63"/>
      <c r="W74" s="63"/>
    </row>
    <row r="75" spans="1:23" x14ac:dyDescent="0.3">
      <c r="A75" s="60">
        <v>67</v>
      </c>
      <c r="B75" s="71" t="s">
        <v>93</v>
      </c>
      <c r="C75" s="62">
        <f>SUMIF('Leadsheet 31.12'!G:G,'Stato patrimoniale'!B75,'Leadsheet 31.12'!D:D)*-1</f>
        <v>0</v>
      </c>
      <c r="D75" s="63"/>
      <c r="E75" s="62">
        <v>0</v>
      </c>
      <c r="F75" s="62">
        <f>E75-C75</f>
        <v>0</v>
      </c>
      <c r="G75" s="63"/>
      <c r="H75" s="62">
        <f>C75</f>
        <v>0</v>
      </c>
      <c r="I75" s="62">
        <f>SUMIF('Leadsheet 31.12'!G:G,'Stato patrimoniale'!B75,'Leadsheet 31.12'!E:E)*-1</f>
        <v>0</v>
      </c>
      <c r="J75" s="62">
        <f t="shared" si="22"/>
        <v>0</v>
      </c>
      <c r="K75" s="64" t="str">
        <f t="shared" si="23"/>
        <v/>
      </c>
      <c r="L75" s="63"/>
      <c r="M75" s="62">
        <v>0</v>
      </c>
      <c r="N75" s="63"/>
      <c r="O75" s="62">
        <f t="shared" si="24"/>
        <v>0</v>
      </c>
      <c r="P75" s="62">
        <v>33328</v>
      </c>
      <c r="Q75" s="63"/>
      <c r="R75" s="63"/>
      <c r="S75" s="63"/>
      <c r="T75" s="63"/>
      <c r="U75" s="63"/>
      <c r="V75" s="63"/>
      <c r="W75" s="63"/>
    </row>
    <row r="76" spans="1:23" hidden="1" x14ac:dyDescent="0.3">
      <c r="A76" s="60">
        <v>68</v>
      </c>
      <c r="B76" s="71" t="s">
        <v>94</v>
      </c>
      <c r="C76" s="62">
        <f>SUMIF('Leadsheet 31.12'!G:G,'Stato patrimoniale'!B76,'Leadsheet 31.12'!D:D)*-1</f>
        <v>0</v>
      </c>
      <c r="D76" s="63"/>
      <c r="E76" s="62">
        <v>0</v>
      </c>
      <c r="F76" s="62">
        <f>E76-C76</f>
        <v>0</v>
      </c>
      <c r="G76" s="63"/>
      <c r="H76" s="62">
        <f>C76</f>
        <v>0</v>
      </c>
      <c r="I76" s="62">
        <f>SUMIF('Leadsheet 31.12'!G:G,'Stato patrimoniale'!B76,'Leadsheet 31.12'!E:E)*-1</f>
        <v>0</v>
      </c>
      <c r="J76" s="62">
        <f t="shared" si="22"/>
        <v>0</v>
      </c>
      <c r="K76" s="64" t="str">
        <f t="shared" si="23"/>
        <v/>
      </c>
      <c r="L76" s="63"/>
      <c r="M76" s="62">
        <v>0</v>
      </c>
      <c r="N76" s="63"/>
      <c r="O76" s="62">
        <f t="shared" si="24"/>
        <v>0</v>
      </c>
      <c r="P76" s="62">
        <v>0</v>
      </c>
      <c r="Q76" s="63"/>
      <c r="R76" s="63"/>
      <c r="S76" s="63"/>
      <c r="T76" s="63"/>
      <c r="U76" s="63"/>
      <c r="V76" s="63"/>
      <c r="W76" s="63"/>
    </row>
    <row r="77" spans="1:23" hidden="1" x14ac:dyDescent="0.3">
      <c r="A77" s="60"/>
      <c r="B77" s="65"/>
      <c r="C77" s="66"/>
      <c r="E77" s="66"/>
      <c r="F77" s="66"/>
      <c r="H77" s="66"/>
      <c r="I77" s="66"/>
      <c r="J77" s="66"/>
      <c r="K77" s="64"/>
      <c r="M77" s="66"/>
      <c r="O77" s="66"/>
      <c r="P77" s="66"/>
    </row>
    <row r="78" spans="1:23" s="70" customFormat="1" x14ac:dyDescent="0.3">
      <c r="A78" s="78">
        <v>70</v>
      </c>
      <c r="B78" s="61" t="s">
        <v>95</v>
      </c>
      <c r="C78" s="67">
        <f>SUMIF('Leadsheet 31.12'!G:G,'Stato patrimoniale'!B78,'Leadsheet 31.12'!D:D)*-1</f>
        <v>715776.97</v>
      </c>
      <c r="D78" s="68"/>
      <c r="E78" s="67">
        <v>715777</v>
      </c>
      <c r="F78" s="67">
        <f>E78-C78</f>
        <v>3.0000000027939677E-2</v>
      </c>
      <c r="G78" s="68"/>
      <c r="H78" s="67">
        <f>C78</f>
        <v>715776.97</v>
      </c>
      <c r="I78" s="67">
        <f>SUMIF('Leadsheet 31.12'!G:G,'Stato patrimoniale'!B78,'Leadsheet 31.12'!E:E)*-1</f>
        <v>652399.12</v>
      </c>
      <c r="J78" s="67">
        <f t="shared" si="22"/>
        <v>63377.849999999977</v>
      </c>
      <c r="K78" s="69">
        <f t="shared" si="23"/>
        <v>9.7145823863159064E-2</v>
      </c>
      <c r="L78" s="68"/>
      <c r="M78" s="67">
        <v>652399</v>
      </c>
      <c r="N78" s="68"/>
      <c r="O78" s="67">
        <f>+M78-I78</f>
        <v>-0.11999999999534339</v>
      </c>
      <c r="P78" s="67">
        <v>647911</v>
      </c>
      <c r="Q78" s="68"/>
      <c r="R78" s="68"/>
      <c r="S78" s="68"/>
      <c r="T78" s="68"/>
      <c r="U78" s="68"/>
      <c r="V78" s="68"/>
      <c r="W78" s="68"/>
    </row>
    <row r="79" spans="1:23" hidden="1" x14ac:dyDescent="0.3">
      <c r="A79" s="60"/>
      <c r="B79" s="65"/>
      <c r="C79" s="66"/>
      <c r="E79" s="66"/>
      <c r="F79" s="66"/>
      <c r="H79" s="66"/>
      <c r="I79" s="66"/>
      <c r="J79" s="66"/>
      <c r="K79" s="64"/>
      <c r="M79" s="66"/>
      <c r="O79" s="66"/>
      <c r="P79" s="66"/>
    </row>
    <row r="80" spans="1:23" s="70" customFormat="1" x14ac:dyDescent="0.3">
      <c r="A80" s="60">
        <v>72</v>
      </c>
      <c r="B80" s="61" t="s">
        <v>96</v>
      </c>
      <c r="C80" s="67">
        <f>SUM(C81:C87)</f>
        <v>27141632.330000002</v>
      </c>
      <c r="D80" s="68"/>
      <c r="E80" s="67">
        <v>27141633</v>
      </c>
      <c r="F80" s="67">
        <f t="shared" ref="F80:F87" si="25">E80-C80</f>
        <v>0.66999999806284904</v>
      </c>
      <c r="G80" s="68"/>
      <c r="H80" s="67">
        <f>C80</f>
        <v>27141632.330000002</v>
      </c>
      <c r="I80" s="67">
        <f>SUM(I81:I87)</f>
        <v>32005361.049999997</v>
      </c>
      <c r="J80" s="67">
        <f t="shared" si="22"/>
        <v>-4863728.7199999951</v>
      </c>
      <c r="K80" s="69">
        <f t="shared" si="23"/>
        <v>-0.15196606319802775</v>
      </c>
      <c r="L80" s="68"/>
      <c r="M80" s="67">
        <v>33595698</v>
      </c>
      <c r="N80" s="68"/>
      <c r="O80" s="67">
        <f t="shared" ref="O80:O87" si="26">+M80-I80</f>
        <v>1590336.950000003</v>
      </c>
      <c r="P80" s="67">
        <v>23797579</v>
      </c>
      <c r="Q80" s="68"/>
      <c r="R80" s="68"/>
      <c r="S80" s="68"/>
      <c r="T80" s="68"/>
      <c r="U80" s="68"/>
      <c r="V80" s="68"/>
      <c r="W80" s="68"/>
    </row>
    <row r="81" spans="1:23" x14ac:dyDescent="0.3">
      <c r="A81" s="60">
        <v>73</v>
      </c>
      <c r="B81" s="71" t="s">
        <v>97</v>
      </c>
      <c r="C81" s="62">
        <f>SUMIF('Leadsheet 31.12'!G:G,'Stato patrimoniale'!B81,'Leadsheet 31.12'!D:D)*-1</f>
        <v>14160098.25</v>
      </c>
      <c r="D81" s="63"/>
      <c r="E81" s="62">
        <v>14160098</v>
      </c>
      <c r="F81" s="62">
        <f t="shared" si="25"/>
        <v>-0.25</v>
      </c>
      <c r="G81" s="63"/>
      <c r="H81" s="62">
        <f>C81</f>
        <v>14160098.25</v>
      </c>
      <c r="I81" s="62">
        <f>SUMIF('Leadsheet 31.12'!G:G,'Stato patrimoniale'!B81,'Leadsheet 31.12'!E:E)*-1</f>
        <v>13946985.280000001</v>
      </c>
      <c r="J81" s="62">
        <f t="shared" si="22"/>
        <v>213112.96999999881</v>
      </c>
      <c r="K81" s="64">
        <f t="shared" si="23"/>
        <v>1.5280217604130059E-2</v>
      </c>
      <c r="L81" s="63"/>
      <c r="M81" s="62">
        <v>15536982</v>
      </c>
      <c r="N81" s="63"/>
      <c r="O81" s="62">
        <f t="shared" si="26"/>
        <v>1589996.7199999988</v>
      </c>
      <c r="P81" s="62">
        <v>14905231</v>
      </c>
      <c r="Q81" s="63"/>
      <c r="R81" s="63"/>
      <c r="S81" s="63"/>
      <c r="T81" s="63"/>
      <c r="U81" s="63"/>
      <c r="V81" s="63"/>
      <c r="W81" s="63"/>
    </row>
    <row r="82" spans="1:23" x14ac:dyDescent="0.3">
      <c r="A82" s="60">
        <v>73.5</v>
      </c>
      <c r="B82" s="71" t="s">
        <v>98</v>
      </c>
      <c r="C82" s="62">
        <f>SUMIF('Leadsheet 31.12'!G:G,'Stato patrimoniale'!B82,'Leadsheet 31.12'!D:D)*-1</f>
        <v>1908258.7400000002</v>
      </c>
      <c r="D82" s="63"/>
      <c r="E82" s="62">
        <v>1908259</v>
      </c>
      <c r="F82" s="62">
        <f t="shared" si="25"/>
        <v>0.25999999977648258</v>
      </c>
      <c r="G82" s="63"/>
      <c r="H82" s="62">
        <f t="shared" ref="H82" si="27">C82</f>
        <v>1908258.7400000002</v>
      </c>
      <c r="I82" s="62">
        <f>SUMIF('Leadsheet 31.12'!G:G,'Stato patrimoniale'!B82,'Leadsheet 31.12'!E:E)*-1</f>
        <v>3722973.2899999996</v>
      </c>
      <c r="J82" s="62">
        <f t="shared" si="22"/>
        <v>-1814714.5499999993</v>
      </c>
      <c r="K82" s="64">
        <f t="shared" si="23"/>
        <v>-0.48743689751263286</v>
      </c>
      <c r="L82" s="63"/>
      <c r="M82" s="62">
        <v>3722973</v>
      </c>
      <c r="N82" s="63"/>
      <c r="O82" s="62">
        <f t="shared" si="26"/>
        <v>-0.28999999957159162</v>
      </c>
      <c r="P82" s="62">
        <v>0</v>
      </c>
      <c r="Q82" s="63"/>
      <c r="R82" s="63"/>
      <c r="S82" s="63"/>
      <c r="T82" s="63"/>
      <c r="U82" s="63"/>
      <c r="V82" s="63"/>
      <c r="W82" s="63"/>
    </row>
    <row r="83" spans="1:23" x14ac:dyDescent="0.3">
      <c r="A83" s="60">
        <v>74</v>
      </c>
      <c r="B83" s="71" t="s">
        <v>99</v>
      </c>
      <c r="C83" s="62">
        <f>SUMIF('Leadsheet 31.12'!G:G,'Stato patrimoniale'!B83,'Leadsheet 31.12'!D:D)*-1</f>
        <v>0</v>
      </c>
      <c r="D83" s="63"/>
      <c r="E83" s="62">
        <v>0</v>
      </c>
      <c r="F83" s="62">
        <f t="shared" si="25"/>
        <v>0</v>
      </c>
      <c r="G83" s="63"/>
      <c r="H83" s="62">
        <f>C83</f>
        <v>0</v>
      </c>
      <c r="I83" s="62">
        <f>SUMIF('Leadsheet 31.12'!G:G,'Stato patrimoniale'!B83,'Leadsheet 31.12'!E:E)*-1</f>
        <v>0</v>
      </c>
      <c r="J83" s="62">
        <f t="shared" si="22"/>
        <v>0</v>
      </c>
      <c r="K83" s="64" t="str">
        <f t="shared" si="23"/>
        <v/>
      </c>
      <c r="L83" s="63"/>
      <c r="M83" s="62">
        <v>0</v>
      </c>
      <c r="N83" s="63"/>
      <c r="O83" s="62">
        <f t="shared" si="26"/>
        <v>0</v>
      </c>
      <c r="P83" s="62">
        <v>45337</v>
      </c>
      <c r="Q83" s="63"/>
      <c r="R83" s="63"/>
      <c r="S83" s="63"/>
      <c r="T83" s="63"/>
      <c r="U83" s="63"/>
      <c r="V83" s="63"/>
      <c r="W83" s="63"/>
    </row>
    <row r="84" spans="1:23" x14ac:dyDescent="0.3">
      <c r="A84" s="60">
        <v>75</v>
      </c>
      <c r="B84" s="71" t="s">
        <v>100</v>
      </c>
      <c r="C84" s="62">
        <f>SUMIF('Leadsheet 31.12'!G:G,'Stato patrimoniale'!B84,'Leadsheet 31.12'!D:D)*-1</f>
        <v>10753863.82</v>
      </c>
      <c r="D84" s="63"/>
      <c r="E84" s="62">
        <v>10753864</v>
      </c>
      <c r="F84" s="62">
        <f t="shared" si="25"/>
        <v>0.17999999970197678</v>
      </c>
      <c r="G84" s="63"/>
      <c r="H84" s="62">
        <f>C84</f>
        <v>10753863.82</v>
      </c>
      <c r="I84" s="62">
        <f>SUMIF('Leadsheet 31.12'!G:G,'Stato patrimoniale'!B84,'Leadsheet 31.12'!E:E)*-1</f>
        <v>13938415.329999998</v>
      </c>
      <c r="J84" s="62">
        <f t="shared" si="22"/>
        <v>-3184551.5099999979</v>
      </c>
      <c r="K84" s="64">
        <f t="shared" si="23"/>
        <v>-0.228472996004489</v>
      </c>
      <c r="L84" s="63"/>
      <c r="M84" s="62">
        <v>13938415</v>
      </c>
      <c r="N84" s="63"/>
      <c r="O84" s="62">
        <f t="shared" si="26"/>
        <v>-0.32999999821186066</v>
      </c>
      <c r="P84" s="62">
        <v>8487867</v>
      </c>
      <c r="Q84" s="63"/>
      <c r="R84" s="63"/>
      <c r="S84" s="63"/>
      <c r="T84" s="63"/>
      <c r="U84" s="63"/>
      <c r="V84" s="63"/>
      <c r="W84" s="63"/>
    </row>
    <row r="85" spans="1:23" x14ac:dyDescent="0.3">
      <c r="A85" s="60">
        <v>76</v>
      </c>
      <c r="B85" s="71" t="s">
        <v>101</v>
      </c>
      <c r="C85" s="62">
        <f>SUMIF('Leadsheet 31.12'!G:G,'Stato patrimoniale'!B85,'Leadsheet 31.12'!D:D)*-1</f>
        <v>80091.49000000002</v>
      </c>
      <c r="D85" s="63"/>
      <c r="E85" s="62">
        <v>80091</v>
      </c>
      <c r="F85" s="62">
        <f t="shared" si="25"/>
        <v>-0.4900000000197906</v>
      </c>
      <c r="G85" s="63"/>
      <c r="H85" s="62">
        <f>C85</f>
        <v>80091.49000000002</v>
      </c>
      <c r="I85" s="62">
        <f>SUMIF('Leadsheet 31.12'!G:G,'Stato patrimoniale'!B85,'Leadsheet 31.12'!E:E)*-1</f>
        <v>247379.14</v>
      </c>
      <c r="J85" s="62">
        <f t="shared" si="22"/>
        <v>-167287.65</v>
      </c>
      <c r="K85" s="64">
        <f t="shared" si="23"/>
        <v>-0.67623992063356675</v>
      </c>
      <c r="L85" s="63"/>
      <c r="M85" s="62">
        <v>247379</v>
      </c>
      <c r="N85" s="63"/>
      <c r="O85" s="62">
        <f t="shared" si="26"/>
        <v>-0.14000000001396984</v>
      </c>
      <c r="P85" s="62">
        <v>221520</v>
      </c>
      <c r="Q85" s="63"/>
      <c r="R85" s="63"/>
      <c r="S85" s="63"/>
      <c r="T85" s="63"/>
      <c r="U85" s="63"/>
      <c r="V85" s="63"/>
      <c r="W85" s="63"/>
    </row>
    <row r="86" spans="1:23" x14ac:dyDescent="0.3">
      <c r="A86" s="60">
        <v>77</v>
      </c>
      <c r="B86" s="71" t="s">
        <v>102</v>
      </c>
      <c r="C86" s="62">
        <f>SUMIF('Leadsheet 31.12'!G:G,'Stato patrimoniale'!B86,'Leadsheet 31.12'!D:D)*-1</f>
        <v>90090.50999999998</v>
      </c>
      <c r="D86" s="63"/>
      <c r="E86" s="62">
        <v>90091</v>
      </c>
      <c r="F86" s="62">
        <f t="shared" si="25"/>
        <v>0.4900000000197906</v>
      </c>
      <c r="G86" s="63"/>
      <c r="H86" s="62">
        <f>C86</f>
        <v>90090.50999999998</v>
      </c>
      <c r="I86" s="62">
        <f>SUMIF('Leadsheet 31.12'!G:G,'Stato patrimoniale'!B86,'Leadsheet 31.12'!E:E)*-1</f>
        <v>76601.109999999986</v>
      </c>
      <c r="J86" s="62">
        <f t="shared" si="22"/>
        <v>13489.399999999994</v>
      </c>
      <c r="K86" s="64">
        <f t="shared" si="23"/>
        <v>0.17609927584600271</v>
      </c>
      <c r="L86" s="63"/>
      <c r="M86" s="62">
        <v>76601</v>
      </c>
      <c r="N86" s="63"/>
      <c r="O86" s="62">
        <f t="shared" si="26"/>
        <v>-0.10999999998603016</v>
      </c>
      <c r="P86" s="62">
        <v>97108</v>
      </c>
      <c r="Q86" s="63"/>
      <c r="R86" s="63"/>
      <c r="S86" s="63"/>
      <c r="T86" s="63"/>
      <c r="U86" s="63"/>
      <c r="V86" s="63"/>
      <c r="W86" s="63"/>
    </row>
    <row r="87" spans="1:23" x14ac:dyDescent="0.3">
      <c r="A87" s="60">
        <v>78</v>
      </c>
      <c r="B87" s="71" t="s">
        <v>103</v>
      </c>
      <c r="C87" s="62">
        <f>SUMIF('Leadsheet 31.12'!G:G,'Stato patrimoniale'!B87,'Leadsheet 31.12'!D:D)*-1</f>
        <v>149229.52000000002</v>
      </c>
      <c r="D87" s="63"/>
      <c r="E87" s="62">
        <v>149230</v>
      </c>
      <c r="F87" s="62">
        <f t="shared" si="25"/>
        <v>0.47999999998137355</v>
      </c>
      <c r="G87" s="63"/>
      <c r="H87" s="62">
        <f>C87</f>
        <v>149229.52000000002</v>
      </c>
      <c r="I87" s="62">
        <f>SUMIF('Leadsheet 31.12'!G:G,'Stato patrimoniale'!B87,'Leadsheet 31.12'!E:E)*-1</f>
        <v>73006.900000000009</v>
      </c>
      <c r="J87" s="62">
        <f t="shared" si="22"/>
        <v>76222.62000000001</v>
      </c>
      <c r="K87" s="64">
        <f t="shared" si="23"/>
        <v>1.0440467955768564</v>
      </c>
      <c r="L87" s="63"/>
      <c r="M87" s="62">
        <v>73348</v>
      </c>
      <c r="N87" s="63"/>
      <c r="O87" s="62">
        <f t="shared" si="26"/>
        <v>341.09999999999127</v>
      </c>
      <c r="P87" s="62">
        <v>40516</v>
      </c>
      <c r="Q87" s="63"/>
      <c r="R87" s="63"/>
      <c r="S87" s="63"/>
      <c r="T87" s="63"/>
      <c r="U87" s="63"/>
      <c r="V87" s="63"/>
      <c r="W87" s="63"/>
    </row>
    <row r="88" spans="1:23" hidden="1" x14ac:dyDescent="0.3">
      <c r="A88" s="60"/>
      <c r="B88" s="65"/>
      <c r="C88" s="66"/>
      <c r="E88" s="66"/>
      <c r="F88" s="66"/>
      <c r="H88" s="66"/>
      <c r="I88" s="66"/>
      <c r="J88" s="66"/>
      <c r="K88" s="64"/>
      <c r="M88" s="66"/>
      <c r="O88" s="66"/>
      <c r="P88" s="66"/>
    </row>
    <row r="89" spans="1:23" s="70" customFormat="1" x14ac:dyDescent="0.3">
      <c r="A89" s="78">
        <v>80</v>
      </c>
      <c r="B89" s="61" t="s">
        <v>104</v>
      </c>
      <c r="C89" s="67">
        <f>SUMIF('Leadsheet 31.12'!G:G,'Stato patrimoniale'!B89,'Leadsheet 31.12'!D:D)*-1</f>
        <v>871348.36</v>
      </c>
      <c r="D89" s="68"/>
      <c r="E89" s="67">
        <v>871348</v>
      </c>
      <c r="F89" s="67">
        <f>E89-C89</f>
        <v>-0.35999999998603016</v>
      </c>
      <c r="G89" s="68"/>
      <c r="H89" s="62">
        <f>C89</f>
        <v>871348.36</v>
      </c>
      <c r="I89" s="67">
        <f>SUMIF('Leadsheet 31.12'!G:G,'Stato patrimoniale'!B89,'Leadsheet 31.12'!E:E)*-1</f>
        <v>222542.14</v>
      </c>
      <c r="J89" s="67">
        <f t="shared" si="22"/>
        <v>648806.22</v>
      </c>
      <c r="K89" s="69">
        <f t="shared" si="23"/>
        <v>2.9154308482878788</v>
      </c>
      <c r="L89" s="68"/>
      <c r="M89" s="67">
        <v>222542</v>
      </c>
      <c r="N89" s="68"/>
      <c r="O89" s="67">
        <f>+M89-I89</f>
        <v>-0.14000000001396984</v>
      </c>
      <c r="P89" s="67">
        <v>225163</v>
      </c>
      <c r="Q89" s="68"/>
      <c r="R89" s="68"/>
      <c r="S89" s="68"/>
      <c r="T89" s="68"/>
      <c r="U89" s="68"/>
      <c r="V89" s="68"/>
      <c r="W89" s="68"/>
    </row>
    <row r="90" spans="1:23" x14ac:dyDescent="0.3">
      <c r="A90" s="42"/>
    </row>
    <row r="91" spans="1:23" s="89" customFormat="1" x14ac:dyDescent="0.3">
      <c r="A91" s="84"/>
      <c r="B91" s="85" t="s">
        <v>105</v>
      </c>
      <c r="C91" s="86">
        <f>C4-C58</f>
        <v>0</v>
      </c>
      <c r="D91" s="87"/>
      <c r="E91" s="86">
        <f>E4-E58</f>
        <v>0</v>
      </c>
      <c r="F91" s="86">
        <f>F4-F58</f>
        <v>-2.2351741790771484E-8</v>
      </c>
      <c r="G91" s="87"/>
      <c r="H91" s="86"/>
      <c r="I91" s="86">
        <f>I4-I58</f>
        <v>-0.17000003904104233</v>
      </c>
      <c r="J91" s="86"/>
      <c r="K91" s="88"/>
      <c r="L91" s="87"/>
      <c r="M91" s="86">
        <f>M4-M58</f>
        <v>0</v>
      </c>
      <c r="N91" s="87"/>
      <c r="O91" s="86"/>
      <c r="P91" s="86">
        <f>P4-P58</f>
        <v>0</v>
      </c>
      <c r="Q91" s="87"/>
      <c r="R91" s="87"/>
      <c r="S91" s="87"/>
      <c r="T91" s="87"/>
      <c r="U91" s="87"/>
      <c r="V91" s="87"/>
      <c r="W91" s="87"/>
    </row>
    <row r="92" spans="1:23" x14ac:dyDescent="0.3">
      <c r="A92" s="42"/>
    </row>
    <row r="93" spans="1:23" x14ac:dyDescent="0.3">
      <c r="A93" s="42"/>
    </row>
    <row r="94" spans="1:23" x14ac:dyDescent="0.3">
      <c r="A94" s="42"/>
    </row>
    <row r="95" spans="1:23" x14ac:dyDescent="0.3">
      <c r="A95" s="42"/>
    </row>
    <row r="96" spans="1:23" x14ac:dyDescent="0.3">
      <c r="A96" s="42"/>
    </row>
    <row r="97" spans="1:1" x14ac:dyDescent="0.3">
      <c r="A97" s="42"/>
    </row>
    <row r="98" spans="1:1" x14ac:dyDescent="0.3">
      <c r="A98" s="42"/>
    </row>
    <row r="99" spans="1:1" x14ac:dyDescent="0.3">
      <c r="A99" s="42"/>
    </row>
    <row r="100" spans="1:1" x14ac:dyDescent="0.3">
      <c r="A100" s="42"/>
    </row>
    <row r="101" spans="1:1" x14ac:dyDescent="0.3">
      <c r="A101" s="42"/>
    </row>
    <row r="102" spans="1:1" x14ac:dyDescent="0.3">
      <c r="A102" s="42"/>
    </row>
  </sheetData>
  <pageMargins left="0" right="0" top="0" bottom="0" header="0.5" footer="0.5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132E1-3C1C-4FDE-A36F-0A7B4751EA78}">
  <dimension ref="A1:Z51"/>
  <sheetViews>
    <sheetView showGridLines="0" zoomScale="87" zoomScaleNormal="87" workbookViewId="0">
      <selection activeCell="P5" sqref="P5"/>
    </sheetView>
  </sheetViews>
  <sheetFormatPr defaultRowHeight="14.4" x14ac:dyDescent="0.3"/>
  <cols>
    <col min="1" max="1" width="4.77734375" style="41" customWidth="1"/>
    <col min="2" max="2" width="59.33203125" style="35" customWidth="1"/>
    <col min="3" max="3" width="14.88671875" style="107" customWidth="1"/>
    <col min="4" max="4" width="2.6640625" style="107" customWidth="1"/>
    <col min="5" max="5" width="11.21875" style="107" hidden="1" customWidth="1"/>
    <col min="6" max="6" width="12.88671875" style="107" hidden="1" customWidth="1"/>
    <col min="7" max="7" width="12.88671875" style="107" customWidth="1"/>
    <col min="8" max="8" width="10.5546875" style="107" hidden="1" customWidth="1"/>
    <col min="9" max="9" width="9.109375" style="109" hidden="1" customWidth="1"/>
    <col min="10" max="10" width="4" style="109" hidden="1" customWidth="1"/>
    <col min="11" max="11" width="11.21875" style="107" hidden="1" customWidth="1"/>
    <col min="12" max="12" width="14.5546875" style="107" hidden="1" customWidth="1"/>
    <col min="13" max="13" width="2.44140625" style="107" customWidth="1"/>
    <col min="14" max="14" width="12.77734375" style="107" customWidth="1"/>
    <col min="15" max="26" width="11.21875" style="107" customWidth="1"/>
    <col min="27" max="16384" width="8.88671875" style="41"/>
  </cols>
  <sheetData>
    <row r="1" spans="1:26" s="59" customFormat="1" ht="14.85" customHeight="1" x14ac:dyDescent="0.3">
      <c r="A1" s="34" t="s">
        <v>21</v>
      </c>
      <c r="C1" s="90"/>
      <c r="D1" s="90"/>
      <c r="E1" s="90"/>
      <c r="F1" s="90"/>
      <c r="G1" s="90"/>
      <c r="H1" s="90"/>
      <c r="I1" s="91"/>
      <c r="J1" s="91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</row>
    <row r="2" spans="1:26" s="59" customFormat="1" ht="9" customHeight="1" x14ac:dyDescent="0.3">
      <c r="B2" s="92"/>
      <c r="C2" s="51"/>
      <c r="D2" s="51"/>
      <c r="E2" s="43" t="s">
        <v>22</v>
      </c>
      <c r="F2" s="51"/>
      <c r="G2" s="51"/>
      <c r="H2" s="51"/>
      <c r="I2" s="93"/>
      <c r="J2" s="93"/>
      <c r="K2" s="43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26" s="59" customFormat="1" ht="27.15" customHeight="1" x14ac:dyDescent="0.3">
      <c r="B3" s="45" t="s">
        <v>106</v>
      </c>
      <c r="C3" s="46" t="s">
        <v>24</v>
      </c>
      <c r="D3" s="47"/>
      <c r="E3" s="46" t="s">
        <v>107</v>
      </c>
      <c r="F3" s="46" t="s">
        <v>108</v>
      </c>
      <c r="G3" s="46" t="s">
        <v>31</v>
      </c>
      <c r="H3" s="48" t="s">
        <v>29</v>
      </c>
      <c r="I3" s="49" t="s">
        <v>30</v>
      </c>
      <c r="J3" s="94"/>
      <c r="K3" s="46" t="s">
        <v>109</v>
      </c>
      <c r="L3" s="46" t="s">
        <v>32</v>
      </c>
      <c r="M3" s="47"/>
      <c r="N3" s="46" t="s">
        <v>33</v>
      </c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</row>
    <row r="4" spans="1:26" s="70" customFormat="1" ht="15.9" customHeight="1" x14ac:dyDescent="0.3">
      <c r="A4" s="95">
        <v>100</v>
      </c>
      <c r="B4" s="96" t="s">
        <v>110</v>
      </c>
      <c r="C4" s="97">
        <f>SUM(C5:C10)</f>
        <v>38605345.520000018</v>
      </c>
      <c r="D4" s="98"/>
      <c r="E4" s="97">
        <v>73705347</v>
      </c>
      <c r="F4" s="97">
        <f t="shared" ref="F4:F10" si="0">E4-C4</f>
        <v>35100001.479999982</v>
      </c>
      <c r="G4" s="97">
        <f>SUM(G5:G10)</f>
        <v>37589293.880000055</v>
      </c>
      <c r="H4" s="97">
        <f>C4-G4</f>
        <v>1016051.6399999633</v>
      </c>
      <c r="I4" s="99">
        <f>IF(H4=0,0,H4/G4)</f>
        <v>2.7030346546109738E-2</v>
      </c>
      <c r="J4" s="100"/>
      <c r="K4" s="97">
        <v>72689295</v>
      </c>
      <c r="L4" s="97">
        <f>K4-G4</f>
        <v>35100001.119999945</v>
      </c>
      <c r="M4" s="98"/>
      <c r="N4" s="97">
        <f>SUM(N5:N10)</f>
        <v>27428917</v>
      </c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</row>
    <row r="5" spans="1:26" x14ac:dyDescent="0.3">
      <c r="A5" s="95">
        <v>101</v>
      </c>
      <c r="B5" s="101" t="s">
        <v>111</v>
      </c>
      <c r="C5" s="102">
        <f>SUMIF('Leadsheet 31.12'!G:G,'Conto economico'!B5,'Leadsheet 31.12'!D:D)*-1</f>
        <v>37809455.940000013</v>
      </c>
      <c r="D5" s="103"/>
      <c r="E5" s="102">
        <v>72909457</v>
      </c>
      <c r="F5" s="102">
        <f t="shared" si="0"/>
        <v>35100001.059999987</v>
      </c>
      <c r="G5" s="102">
        <f>SUMIF('Leadsheet 31.12'!G:G,'Conto economico'!B5,'Leadsheet 31.12'!E:E)*-1</f>
        <v>36656236.450000018</v>
      </c>
      <c r="H5" s="104">
        <f>C5-G5</f>
        <v>1153219.4899999946</v>
      </c>
      <c r="I5" s="105">
        <f>IF(H5=0,0,H5/G5)</f>
        <v>3.1460389873166975E-2</v>
      </c>
      <c r="J5" s="106"/>
      <c r="K5" s="102">
        <v>71756237</v>
      </c>
      <c r="L5" s="102">
        <f>K5-G5</f>
        <v>35100000.549999982</v>
      </c>
      <c r="M5" s="103"/>
      <c r="N5" s="102">
        <f>36589987-10000000</f>
        <v>26589987</v>
      </c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</row>
    <row r="6" spans="1:26" ht="15.9" customHeight="1" x14ac:dyDescent="0.3">
      <c r="A6" s="95">
        <v>102</v>
      </c>
      <c r="B6" s="101" t="s">
        <v>112</v>
      </c>
      <c r="C6" s="102">
        <f>SUMIF('Leadsheet 31.12'!G:G,'Conto economico'!B6,'Leadsheet 31.12'!D:D)*-1</f>
        <v>237159.07</v>
      </c>
      <c r="D6" s="103"/>
      <c r="E6" s="102">
        <v>237159</v>
      </c>
      <c r="F6" s="102">
        <f t="shared" si="0"/>
        <v>-7.0000000006984919E-2</v>
      </c>
      <c r="G6" s="102">
        <f>SUMIF('Leadsheet 31.12'!G:G,'Conto economico'!B6,'Leadsheet 31.12'!E:E)*-1</f>
        <v>-89647.990000000049</v>
      </c>
      <c r="H6" s="104">
        <f>C6-G6</f>
        <v>326807.06000000006</v>
      </c>
      <c r="I6" s="105">
        <f>IF(H6=0,0,H6/G6)</f>
        <v>-3.6454477116553297</v>
      </c>
      <c r="J6" s="106"/>
      <c r="K6" s="102">
        <v>-89648</v>
      </c>
      <c r="L6" s="102">
        <f>K6-G6</f>
        <v>-9.9999999511055648E-3</v>
      </c>
      <c r="M6" s="103"/>
      <c r="N6" s="102">
        <v>16153</v>
      </c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</row>
    <row r="7" spans="1:26" ht="15.9" hidden="1" customHeight="1" x14ac:dyDescent="0.3">
      <c r="A7" s="95">
        <v>103</v>
      </c>
      <c r="B7" s="101" t="s">
        <v>113</v>
      </c>
      <c r="C7" s="102">
        <f>SUMIF('Leadsheet 31.12'!G:G,'Conto economico'!B7,'Leadsheet 31.12'!D:D)*-1</f>
        <v>0</v>
      </c>
      <c r="D7" s="103"/>
      <c r="E7" s="102">
        <v>0</v>
      </c>
      <c r="F7" s="102">
        <f t="shared" si="0"/>
        <v>0</v>
      </c>
      <c r="G7" s="102">
        <f>SUMIF('Leadsheet 31.12'!G:G,'Conto economico'!B7,'Leadsheet 31.12'!E:E)*-1</f>
        <v>0</v>
      </c>
      <c r="H7" s="104">
        <f>C7-G7</f>
        <v>0</v>
      </c>
      <c r="I7" s="105">
        <f>IF(H7=0,0,H7/G7)</f>
        <v>0</v>
      </c>
      <c r="J7" s="106"/>
      <c r="K7" s="102">
        <v>0</v>
      </c>
      <c r="L7" s="102">
        <f>K7-G7</f>
        <v>0</v>
      </c>
      <c r="M7" s="103"/>
      <c r="N7" s="102">
        <v>0</v>
      </c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</row>
    <row r="8" spans="1:26" ht="15.9" customHeight="1" x14ac:dyDescent="0.3">
      <c r="A8" s="95">
        <v>104</v>
      </c>
      <c r="B8" s="101" t="s">
        <v>114</v>
      </c>
      <c r="C8" s="102">
        <f>SUMIF('Leadsheet 31.12'!G:G,'Conto economico'!B8,'Leadsheet 31.12'!D:D)*-1</f>
        <v>0</v>
      </c>
      <c r="D8" s="103"/>
      <c r="E8" s="102">
        <v>0</v>
      </c>
      <c r="F8" s="102">
        <f t="shared" si="0"/>
        <v>0</v>
      </c>
      <c r="G8" s="102">
        <f>SUMIF('Leadsheet 31.12'!G:G,'Conto economico'!B8,'Leadsheet 31.12'!E:E)*-1</f>
        <v>0</v>
      </c>
      <c r="H8" s="104">
        <f>C8-G8</f>
        <v>0</v>
      </c>
      <c r="I8" s="105">
        <f>IF(H8=0,0,H8/G8)</f>
        <v>0</v>
      </c>
      <c r="J8" s="106"/>
      <c r="K8" s="102">
        <v>0</v>
      </c>
      <c r="L8" s="102">
        <f>K8-G8</f>
        <v>0</v>
      </c>
      <c r="M8" s="103"/>
      <c r="N8" s="102">
        <v>69485</v>
      </c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</row>
    <row r="9" spans="1:26" ht="15.9" customHeight="1" x14ac:dyDescent="0.3">
      <c r="A9" s="95">
        <v>105</v>
      </c>
      <c r="B9" s="101" t="s">
        <v>115</v>
      </c>
      <c r="C9" s="102">
        <f>SUMIF('Leadsheet 31.12'!G:G,'Conto economico'!B9,'Leadsheet 31.12'!D:D)*-1</f>
        <v>326259.63</v>
      </c>
      <c r="D9" s="103"/>
      <c r="E9" s="102">
        <v>326260</v>
      </c>
      <c r="F9" s="102">
        <f t="shared" si="0"/>
        <v>0.36999999999534339</v>
      </c>
      <c r="G9" s="107">
        <v>360953.45000003697</v>
      </c>
      <c r="H9" s="104">
        <v>-34693.820000036969</v>
      </c>
      <c r="I9" s="105">
        <v>-9.6117158597690128E-2</v>
      </c>
      <c r="J9" s="106"/>
      <c r="K9" s="102">
        <v>355866</v>
      </c>
      <c r="L9" s="102">
        <v>-5087.4500000369735</v>
      </c>
      <c r="M9" s="103"/>
      <c r="N9" s="102">
        <v>743006</v>
      </c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</row>
    <row r="10" spans="1:26" ht="15.9" customHeight="1" x14ac:dyDescent="0.3">
      <c r="A10" s="95">
        <v>106</v>
      </c>
      <c r="B10" s="101" t="s">
        <v>116</v>
      </c>
      <c r="C10" s="102">
        <f>SUMIF('Leadsheet 31.12'!G:G,'Conto economico'!B10,'Leadsheet 31.12'!D:D)*-1</f>
        <v>232470.88</v>
      </c>
      <c r="D10" s="103"/>
      <c r="E10" s="102">
        <v>232471</v>
      </c>
      <c r="F10" s="102">
        <f t="shared" si="0"/>
        <v>0.11999999999534339</v>
      </c>
      <c r="G10" s="102">
        <f>SUMIF('Leadsheet 31.12'!G:G,'Conto economico'!B10,'Leadsheet 31.12'!E:E)*-1</f>
        <v>661751.97</v>
      </c>
      <c r="H10" s="104">
        <f>C10-G10</f>
        <v>-429281.08999999997</v>
      </c>
      <c r="I10" s="105">
        <f t="shared" ref="I10" si="1">IF(H10=0,0,H10/G10)</f>
        <v>-0.64870390941186018</v>
      </c>
      <c r="J10" s="106"/>
      <c r="K10" s="102">
        <v>666840</v>
      </c>
      <c r="L10" s="102">
        <f>K10-G10</f>
        <v>5088.0300000000279</v>
      </c>
      <c r="M10" s="103"/>
      <c r="N10" s="102">
        <v>10286</v>
      </c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</row>
    <row r="11" spans="1:26" ht="15.9" hidden="1" customHeight="1" x14ac:dyDescent="0.3">
      <c r="A11" s="95"/>
      <c r="B11" s="65"/>
      <c r="C11" s="66"/>
      <c r="D11" s="37"/>
      <c r="E11" s="66"/>
      <c r="F11" s="66"/>
      <c r="G11" s="66"/>
      <c r="H11" s="108"/>
      <c r="I11" s="73"/>
      <c r="K11" s="66"/>
      <c r="L11" s="66"/>
      <c r="M11" s="37"/>
      <c r="N11" s="66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s="70" customFormat="1" ht="15.9" customHeight="1" x14ac:dyDescent="0.3">
      <c r="A12" s="95">
        <v>107</v>
      </c>
      <c r="B12" s="96" t="s">
        <v>117</v>
      </c>
      <c r="C12" s="97">
        <f>+C13+C14+C15+C16+C22+C26+C27+C28+C29</f>
        <v>36962212.799999997</v>
      </c>
      <c r="D12" s="98"/>
      <c r="E12" s="97">
        <v>72062213</v>
      </c>
      <c r="F12" s="97">
        <f t="shared" ref="F12:F29" si="2">E12-C12</f>
        <v>35100000.200000003</v>
      </c>
      <c r="G12" s="97">
        <f>+G13+G14+G15+G16+G22+G26+G27+G28+G29</f>
        <v>36590397.330000013</v>
      </c>
      <c r="H12" s="110">
        <f t="shared" ref="H12:H29" si="3">C12-G12</f>
        <v>371815.46999998391</v>
      </c>
      <c r="I12" s="111">
        <f t="shared" ref="I12:I29" si="4">IF(H12=0,0,H12/G12)</f>
        <v>1.0161558691114212E-2</v>
      </c>
      <c r="J12" s="100"/>
      <c r="K12" s="97">
        <v>71690399</v>
      </c>
      <c r="L12" s="97">
        <f t="shared" ref="L12:L29" si="5">K12-G12</f>
        <v>35100001.669999987</v>
      </c>
      <c r="M12" s="98"/>
      <c r="N12" s="97">
        <f>SUM(N13:N15)+N16+N22+SUM(N26:N29)</f>
        <v>26964974</v>
      </c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</row>
    <row r="13" spans="1:26" x14ac:dyDescent="0.3">
      <c r="A13" s="95">
        <v>108</v>
      </c>
      <c r="B13" s="101" t="s">
        <v>118</v>
      </c>
      <c r="C13" s="102">
        <f>SUMIF('Leadsheet 31.12'!G:G,'Conto economico'!B13,'Leadsheet 31.12'!D:D)</f>
        <v>22946774.480000004</v>
      </c>
      <c r="D13" s="103"/>
      <c r="E13" s="102">
        <v>58046775</v>
      </c>
      <c r="F13" s="102">
        <f t="shared" si="2"/>
        <v>35100000.519999996</v>
      </c>
      <c r="G13" s="102">
        <f>SUMIF('Leadsheet 31.12'!G:G,'Conto economico'!B13,'Leadsheet 31.12'!E:E)</f>
        <v>23811463.170000009</v>
      </c>
      <c r="H13" s="104">
        <f t="shared" si="3"/>
        <v>-864688.69000000507</v>
      </c>
      <c r="I13" s="105">
        <f t="shared" si="4"/>
        <v>-3.631396709335459E-2</v>
      </c>
      <c r="J13" s="106"/>
      <c r="K13" s="102">
        <v>58911464</v>
      </c>
      <c r="L13" s="102">
        <f t="shared" si="5"/>
        <v>35100000.829999991</v>
      </c>
      <c r="M13" s="103"/>
      <c r="N13" s="102">
        <f>29427133-10000000</f>
        <v>19427133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</row>
    <row r="14" spans="1:26" ht="15.9" customHeight="1" x14ac:dyDescent="0.3">
      <c r="A14" s="95">
        <v>109</v>
      </c>
      <c r="B14" s="101" t="s">
        <v>119</v>
      </c>
      <c r="C14" s="102">
        <f>SUMIF('Leadsheet 31.12'!G:G,'Conto economico'!B14,'Leadsheet 31.12'!D:D)</f>
        <v>9139501.959999999</v>
      </c>
      <c r="D14" s="103"/>
      <c r="E14" s="102">
        <v>9139502</v>
      </c>
      <c r="F14" s="102">
        <f t="shared" si="2"/>
        <v>4.0000000968575478E-2</v>
      </c>
      <c r="G14" s="102">
        <f>SUMIF('Leadsheet 31.12'!G:G,'Conto economico'!B14,'Leadsheet 31.12'!E:E)</f>
        <v>9457931.2400000002</v>
      </c>
      <c r="H14" s="104">
        <f t="shared" si="3"/>
        <v>-318429.28000000119</v>
      </c>
      <c r="I14" s="105">
        <f t="shared" si="4"/>
        <v>-3.3667963100987949E-2</v>
      </c>
      <c r="J14" s="106"/>
      <c r="K14" s="102">
        <v>9457931</v>
      </c>
      <c r="L14" s="102">
        <f t="shared" si="5"/>
        <v>-0.24000000022351742</v>
      </c>
      <c r="M14" s="103"/>
      <c r="N14" s="102">
        <v>4767411</v>
      </c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</row>
    <row r="15" spans="1:26" ht="15.9" customHeight="1" x14ac:dyDescent="0.3">
      <c r="A15" s="95">
        <v>110</v>
      </c>
      <c r="B15" s="101" t="s">
        <v>120</v>
      </c>
      <c r="C15" s="102">
        <f>SUMIF('Leadsheet 31.12'!G:G,'Conto economico'!B15,'Leadsheet 31.12'!D:D)</f>
        <v>153235.97</v>
      </c>
      <c r="D15" s="103"/>
      <c r="E15" s="102">
        <v>153236</v>
      </c>
      <c r="F15" s="102">
        <f t="shared" si="2"/>
        <v>2.9999999998835847E-2</v>
      </c>
      <c r="G15" s="102">
        <f>SUMIF('Leadsheet 31.12'!G:G,'Conto economico'!B15,'Leadsheet 31.12'!E:E)</f>
        <v>140563.91</v>
      </c>
      <c r="H15" s="104">
        <f t="shared" si="3"/>
        <v>12672.059999999998</v>
      </c>
      <c r="I15" s="105">
        <f t="shared" si="4"/>
        <v>9.0151590120109759E-2</v>
      </c>
      <c r="J15" s="106"/>
      <c r="K15" s="102">
        <v>140564</v>
      </c>
      <c r="L15" s="102">
        <f t="shared" si="5"/>
        <v>8.999999999650754E-2</v>
      </c>
      <c r="M15" s="103"/>
      <c r="N15" s="102">
        <v>145064</v>
      </c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</row>
    <row r="16" spans="1:26" s="70" customFormat="1" ht="15.9" customHeight="1" x14ac:dyDescent="0.3">
      <c r="A16" s="95">
        <v>111</v>
      </c>
      <c r="B16" s="96" t="s">
        <v>121</v>
      </c>
      <c r="C16" s="97">
        <f>SUM(C17:C21)</f>
        <v>1638220.2299999997</v>
      </c>
      <c r="D16" s="98"/>
      <c r="E16" s="97">
        <v>1638221</v>
      </c>
      <c r="F16" s="97">
        <f t="shared" si="2"/>
        <v>0.7700000002514571</v>
      </c>
      <c r="G16" s="97">
        <f>SUM(G17:G21)</f>
        <v>1759336.01</v>
      </c>
      <c r="H16" s="110">
        <f t="shared" si="3"/>
        <v>-121115.78000000026</v>
      </c>
      <c r="I16" s="111">
        <f t="shared" si="4"/>
        <v>-6.8841755816730119E-2</v>
      </c>
      <c r="J16" s="100"/>
      <c r="K16" s="97">
        <v>1759336</v>
      </c>
      <c r="L16" s="97">
        <f t="shared" si="5"/>
        <v>-1.0000000009313226E-2</v>
      </c>
      <c r="M16" s="98"/>
      <c r="N16" s="97">
        <v>1766259</v>
      </c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</row>
    <row r="17" spans="1:26" ht="15.9" customHeight="1" x14ac:dyDescent="0.3">
      <c r="A17" s="95">
        <v>112</v>
      </c>
      <c r="B17" s="112" t="s">
        <v>122</v>
      </c>
      <c r="C17" s="102">
        <f>SUMIF('Leadsheet 31.12'!G:G,'Conto economico'!B17,'Leadsheet 31.12'!D:D)</f>
        <v>1132599.7399999998</v>
      </c>
      <c r="D17" s="103"/>
      <c r="E17" s="102">
        <v>1132600</v>
      </c>
      <c r="F17" s="102">
        <f t="shared" si="2"/>
        <v>0.26000000024214387</v>
      </c>
      <c r="G17" s="102">
        <f>SUMIF('Leadsheet 31.12'!G:G,'Conto economico'!B17,'Leadsheet 31.12'!E:E)</f>
        <v>1250366.8299999998</v>
      </c>
      <c r="H17" s="104">
        <f t="shared" si="3"/>
        <v>-117767.09000000008</v>
      </c>
      <c r="I17" s="105">
        <f t="shared" si="4"/>
        <v>-9.4186031790366748E-2</v>
      </c>
      <c r="J17" s="106"/>
      <c r="K17" s="102">
        <v>1250367</v>
      </c>
      <c r="L17" s="102">
        <f t="shared" si="5"/>
        <v>0.17000000015832484</v>
      </c>
      <c r="M17" s="103"/>
      <c r="N17" s="102">
        <v>1245463</v>
      </c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</row>
    <row r="18" spans="1:26" ht="15.9" customHeight="1" x14ac:dyDescent="0.3">
      <c r="A18" s="95">
        <v>113</v>
      </c>
      <c r="B18" s="112" t="s">
        <v>123</v>
      </c>
      <c r="C18" s="102">
        <f>SUMIF('Leadsheet 31.12'!G:G,'Conto economico'!B18,'Leadsheet 31.12'!D:D)</f>
        <v>414710.76999999996</v>
      </c>
      <c r="D18" s="103"/>
      <c r="E18" s="102">
        <v>414711</v>
      </c>
      <c r="F18" s="102">
        <f t="shared" si="2"/>
        <v>0.23000000003958121</v>
      </c>
      <c r="G18" s="102">
        <f>SUMIF('Leadsheet 31.12'!G:G,'Conto economico'!B18,'Leadsheet 31.12'!E:E)</f>
        <v>371480.32000000001</v>
      </c>
      <c r="H18" s="104">
        <f t="shared" si="3"/>
        <v>43230.449999999953</v>
      </c>
      <c r="I18" s="105">
        <f t="shared" si="4"/>
        <v>0.11637345956846369</v>
      </c>
      <c r="J18" s="106"/>
      <c r="K18" s="102">
        <v>371480</v>
      </c>
      <c r="L18" s="102">
        <f t="shared" si="5"/>
        <v>-0.32000000000698492</v>
      </c>
      <c r="M18" s="103"/>
      <c r="N18" s="102">
        <v>413509</v>
      </c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</row>
    <row r="19" spans="1:26" ht="15.9" customHeight="1" x14ac:dyDescent="0.3">
      <c r="A19" s="95">
        <v>114</v>
      </c>
      <c r="B19" s="112" t="s">
        <v>124</v>
      </c>
      <c r="C19" s="102">
        <f>SUMIF('Leadsheet 31.12'!G:G,'Conto economico'!B19,'Leadsheet 31.12'!D:D)</f>
        <v>90634.569999999992</v>
      </c>
      <c r="D19" s="103"/>
      <c r="E19" s="102">
        <v>90635</v>
      </c>
      <c r="F19" s="102">
        <f t="shared" si="2"/>
        <v>0.430000000007567</v>
      </c>
      <c r="G19" s="102">
        <f>SUMIF('Leadsheet 31.12'!G:G,'Conto economico'!B19,'Leadsheet 31.12'!E:E)</f>
        <v>135094.62</v>
      </c>
      <c r="H19" s="104">
        <f t="shared" si="3"/>
        <v>-44460.05</v>
      </c>
      <c r="I19" s="105">
        <f t="shared" si="4"/>
        <v>-0.32910303904034077</v>
      </c>
      <c r="J19" s="106"/>
      <c r="K19" s="102">
        <v>135095</v>
      </c>
      <c r="L19" s="102">
        <f t="shared" si="5"/>
        <v>0.38000000000465661</v>
      </c>
      <c r="M19" s="103"/>
      <c r="N19" s="102">
        <v>106274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</row>
    <row r="20" spans="1:26" ht="15.9" hidden="1" customHeight="1" x14ac:dyDescent="0.3">
      <c r="A20" s="95">
        <v>115</v>
      </c>
      <c r="B20" s="112" t="s">
        <v>125</v>
      </c>
      <c r="C20" s="102">
        <f>SUMIF('Leadsheet 31.12'!G:G,'Conto economico'!B20,'Leadsheet 31.12'!D:D)</f>
        <v>0</v>
      </c>
      <c r="D20" s="103"/>
      <c r="E20" s="102">
        <v>0</v>
      </c>
      <c r="F20" s="102">
        <f t="shared" si="2"/>
        <v>0</v>
      </c>
      <c r="G20" s="102">
        <f>SUMIF('Leadsheet 31.12'!G:G,'Conto economico'!B20,'Leadsheet 31.12'!E:E)</f>
        <v>0</v>
      </c>
      <c r="H20" s="104">
        <f t="shared" si="3"/>
        <v>0</v>
      </c>
      <c r="I20" s="105">
        <f t="shared" si="4"/>
        <v>0</v>
      </c>
      <c r="J20" s="106"/>
      <c r="K20" s="102">
        <v>0</v>
      </c>
      <c r="L20" s="102">
        <f t="shared" si="5"/>
        <v>0</v>
      </c>
      <c r="M20" s="103"/>
      <c r="N20" s="102">
        <v>0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</row>
    <row r="21" spans="1:26" ht="15.9" customHeight="1" x14ac:dyDescent="0.3">
      <c r="A21" s="95">
        <v>116</v>
      </c>
      <c r="B21" s="112" t="s">
        <v>126</v>
      </c>
      <c r="C21" s="102">
        <f>SUMIF('Leadsheet 31.12'!G:G,'Conto economico'!B21,'Leadsheet 31.12'!D:D)</f>
        <v>275.14999999999998</v>
      </c>
      <c r="D21" s="103"/>
      <c r="E21" s="102">
        <v>275</v>
      </c>
      <c r="F21" s="102">
        <f t="shared" si="2"/>
        <v>-0.14999999999997726</v>
      </c>
      <c r="G21" s="102">
        <f>SUMIF('Leadsheet 31.12'!G:G,'Conto economico'!B21,'Leadsheet 31.12'!E:E)</f>
        <v>2394.2399999999998</v>
      </c>
      <c r="H21" s="104">
        <f t="shared" si="3"/>
        <v>-2119.0899999999997</v>
      </c>
      <c r="I21" s="105">
        <f t="shared" si="4"/>
        <v>-0.88507835471798979</v>
      </c>
      <c r="J21" s="106"/>
      <c r="K21" s="102">
        <v>2394</v>
      </c>
      <c r="L21" s="102">
        <f t="shared" si="5"/>
        <v>-0.23999999999978172</v>
      </c>
      <c r="M21" s="103"/>
      <c r="N21" s="102">
        <v>1013</v>
      </c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</row>
    <row r="22" spans="1:26" s="70" customFormat="1" ht="15.9" customHeight="1" x14ac:dyDescent="0.3">
      <c r="A22" s="95">
        <v>117</v>
      </c>
      <c r="B22" s="96" t="s">
        <v>127</v>
      </c>
      <c r="C22" s="97">
        <f>SUM(C23:C25)</f>
        <v>1147877.6600000001</v>
      </c>
      <c r="D22" s="98"/>
      <c r="E22" s="97">
        <v>1147877</v>
      </c>
      <c r="F22" s="97">
        <f t="shared" si="2"/>
        <v>-0.66000000014901161</v>
      </c>
      <c r="G22" s="97">
        <f>SUM(G23:G25)</f>
        <v>1809760.6799999997</v>
      </c>
      <c r="H22" s="110">
        <f t="shared" si="3"/>
        <v>-661883.01999999955</v>
      </c>
      <c r="I22" s="111">
        <f t="shared" si="4"/>
        <v>-0.36572958364859581</v>
      </c>
      <c r="J22" s="100"/>
      <c r="K22" s="97">
        <v>1809760</v>
      </c>
      <c r="L22" s="97">
        <f t="shared" si="5"/>
        <v>-0.67999999970197678</v>
      </c>
      <c r="M22" s="98"/>
      <c r="N22" s="97">
        <v>792930</v>
      </c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</row>
    <row r="23" spans="1:26" ht="15.9" customHeight="1" x14ac:dyDescent="0.3">
      <c r="A23" s="95">
        <v>118</v>
      </c>
      <c r="B23" s="113" t="s">
        <v>128</v>
      </c>
      <c r="C23" s="102">
        <f>SUMIF('Leadsheet 31.12'!G:G,'Conto economico'!B23,'Leadsheet 31.12'!D:D)</f>
        <v>31891.360000000001</v>
      </c>
      <c r="D23" s="103"/>
      <c r="E23" s="102">
        <v>31891</v>
      </c>
      <c r="F23" s="102">
        <f t="shared" si="2"/>
        <v>-0.36000000000058208</v>
      </c>
      <c r="G23" s="102">
        <f>SUMIF('Leadsheet 31.12'!G:G,'Conto economico'!B23,'Leadsheet 31.12'!E:E)</f>
        <v>32091.949999999997</v>
      </c>
      <c r="H23" s="104">
        <f t="shared" si="3"/>
        <v>-200.58999999999651</v>
      </c>
      <c r="I23" s="105">
        <f t="shared" si="4"/>
        <v>-6.250477144579763E-3</v>
      </c>
      <c r="J23" s="106"/>
      <c r="K23" s="102">
        <v>32092</v>
      </c>
      <c r="L23" s="102">
        <f t="shared" si="5"/>
        <v>5.0000000002910383E-2</v>
      </c>
      <c r="M23" s="103"/>
      <c r="N23" s="102">
        <v>38523</v>
      </c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</row>
    <row r="24" spans="1:26" ht="15.9" customHeight="1" x14ac:dyDescent="0.3">
      <c r="A24" s="95">
        <v>119</v>
      </c>
      <c r="B24" s="113" t="s">
        <v>129</v>
      </c>
      <c r="C24" s="102">
        <f>SUMIF('Leadsheet 31.12'!G:G,'Conto economico'!B24,'Leadsheet 31.12'!D:D)</f>
        <v>865986.3</v>
      </c>
      <c r="D24" s="103"/>
      <c r="E24" s="102">
        <v>865986</v>
      </c>
      <c r="F24" s="102">
        <f t="shared" si="2"/>
        <v>-0.30000000004656613</v>
      </c>
      <c r="G24" s="102">
        <f>SUMIF('Leadsheet 31.12'!G:G,'Conto economico'!B24,'Leadsheet 31.12'!E:E)</f>
        <v>777668.72999999986</v>
      </c>
      <c r="H24" s="104">
        <f t="shared" si="3"/>
        <v>88317.570000000182</v>
      </c>
      <c r="I24" s="105">
        <f t="shared" si="4"/>
        <v>0.11356708402046743</v>
      </c>
      <c r="J24" s="106"/>
      <c r="K24" s="102">
        <v>777669</v>
      </c>
      <c r="L24" s="102">
        <f t="shared" si="5"/>
        <v>0.27000000013504177</v>
      </c>
      <c r="M24" s="103"/>
      <c r="N24" s="102">
        <v>754407</v>
      </c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</row>
    <row r="25" spans="1:26" ht="15.9" customHeight="1" x14ac:dyDescent="0.3">
      <c r="A25" s="95">
        <v>120</v>
      </c>
      <c r="B25" s="113" t="s">
        <v>130</v>
      </c>
      <c r="C25" s="102">
        <f>SUMIF('Leadsheet 31.12'!G:G,'Conto economico'!B25,'Leadsheet 31.12'!D:D)</f>
        <v>250000</v>
      </c>
      <c r="D25" s="103"/>
      <c r="E25" s="102">
        <v>250000</v>
      </c>
      <c r="F25" s="102">
        <f t="shared" si="2"/>
        <v>0</v>
      </c>
      <c r="G25" s="102">
        <f>SUMIF('Leadsheet 31.12'!G:G,'Conto economico'!B25,'Leadsheet 31.12'!E:E)</f>
        <v>1000000</v>
      </c>
      <c r="H25" s="104">
        <f t="shared" si="3"/>
        <v>-750000</v>
      </c>
      <c r="I25" s="105">
        <f t="shared" si="4"/>
        <v>-0.75</v>
      </c>
      <c r="J25" s="106"/>
      <c r="K25" s="102">
        <v>1000000</v>
      </c>
      <c r="L25" s="102">
        <f t="shared" si="5"/>
        <v>0</v>
      </c>
      <c r="M25" s="103"/>
      <c r="N25" s="102">
        <v>0</v>
      </c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</row>
    <row r="26" spans="1:26" ht="15.9" customHeight="1" x14ac:dyDescent="0.3">
      <c r="A26" s="95">
        <v>121</v>
      </c>
      <c r="B26" s="101" t="s">
        <v>131</v>
      </c>
      <c r="C26" s="102">
        <f>SUMIF('Leadsheet 31.12'!G:G,'Conto economico'!B26,'Leadsheet 31.12'!D:D)</f>
        <v>1701431.4700000002</v>
      </c>
      <c r="D26" s="103"/>
      <c r="E26" s="102">
        <v>1701431</v>
      </c>
      <c r="F26" s="102">
        <f t="shared" si="2"/>
        <v>-0.47000000020489097</v>
      </c>
      <c r="G26" s="102">
        <f>SUMIF('Leadsheet 31.12'!G:G,'Conto economico'!B26,'Leadsheet 31.12'!E:E)</f>
        <v>-960821.65000000037</v>
      </c>
      <c r="H26" s="104">
        <f t="shared" si="3"/>
        <v>2662253.1200000006</v>
      </c>
      <c r="I26" s="105">
        <f t="shared" si="4"/>
        <v>-2.7708088384561274</v>
      </c>
      <c r="J26" s="106"/>
      <c r="K26" s="102">
        <v>-960822</v>
      </c>
      <c r="L26" s="102">
        <f t="shared" si="5"/>
        <v>-0.34999999962747097</v>
      </c>
      <c r="M26" s="103"/>
      <c r="N26" s="102">
        <v>-153547</v>
      </c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</row>
    <row r="27" spans="1:26" ht="15.9" hidden="1" customHeight="1" x14ac:dyDescent="0.3">
      <c r="A27" s="95">
        <v>122</v>
      </c>
      <c r="B27" s="101" t="s">
        <v>132</v>
      </c>
      <c r="C27" s="102">
        <f>SUMIF('Leadsheet 31.12'!G:G,'Conto economico'!B27,'Leadsheet 31.12'!D:D)</f>
        <v>0</v>
      </c>
      <c r="D27" s="103"/>
      <c r="E27" s="102">
        <v>0</v>
      </c>
      <c r="F27" s="102">
        <f t="shared" si="2"/>
        <v>0</v>
      </c>
      <c r="G27" s="102">
        <f>SUMIF('Leadsheet 31.12'!G:G,'Conto economico'!B27,'Leadsheet 31.12'!E:E)</f>
        <v>0</v>
      </c>
      <c r="H27" s="104">
        <f t="shared" si="3"/>
        <v>0</v>
      </c>
      <c r="I27" s="105">
        <f t="shared" si="4"/>
        <v>0</v>
      </c>
      <c r="J27" s="106"/>
      <c r="K27" s="102">
        <v>0</v>
      </c>
      <c r="L27" s="102">
        <f t="shared" si="5"/>
        <v>0</v>
      </c>
      <c r="M27" s="103"/>
      <c r="N27" s="102">
        <v>0</v>
      </c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</row>
    <row r="28" spans="1:26" ht="15.9" hidden="1" customHeight="1" x14ac:dyDescent="0.3">
      <c r="A28" s="95">
        <v>123</v>
      </c>
      <c r="B28" s="101" t="s">
        <v>133</v>
      </c>
      <c r="C28" s="102">
        <f>SUMIF('Leadsheet 31.12'!G:G,'Conto economico'!B28,'Leadsheet 31.12'!D:D)</f>
        <v>0</v>
      </c>
      <c r="D28" s="103"/>
      <c r="E28" s="102">
        <v>0</v>
      </c>
      <c r="F28" s="102">
        <f t="shared" si="2"/>
        <v>0</v>
      </c>
      <c r="G28" s="102">
        <f>SUMIF('Leadsheet 31.12'!G:G,'Conto economico'!B28,'Leadsheet 31.12'!E:E)</f>
        <v>0</v>
      </c>
      <c r="H28" s="104">
        <f t="shared" si="3"/>
        <v>0</v>
      </c>
      <c r="I28" s="105">
        <f t="shared" si="4"/>
        <v>0</v>
      </c>
      <c r="J28" s="106"/>
      <c r="K28" s="102">
        <v>0</v>
      </c>
      <c r="L28" s="102">
        <f t="shared" si="5"/>
        <v>0</v>
      </c>
      <c r="M28" s="103"/>
      <c r="N28" s="102">
        <v>0</v>
      </c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</row>
    <row r="29" spans="1:26" ht="15.9" customHeight="1" x14ac:dyDescent="0.3">
      <c r="A29" s="95">
        <v>124</v>
      </c>
      <c r="B29" s="101" t="s">
        <v>134</v>
      </c>
      <c r="C29" s="102">
        <f>SUMIF('Leadsheet 31.12'!G:G,'Conto economico'!B29,'Leadsheet 31.12'!D:D)</f>
        <v>235171.03</v>
      </c>
      <c r="D29" s="103"/>
      <c r="E29" s="102">
        <v>235171</v>
      </c>
      <c r="F29" s="102">
        <f t="shared" si="2"/>
        <v>-2.9999999998835847E-2</v>
      </c>
      <c r="G29" s="102">
        <f>SUMIF('Leadsheet 31.12'!G:G,'Conto economico'!B29,'Leadsheet 31.12'!E:E)</f>
        <v>572163.97</v>
      </c>
      <c r="H29" s="104">
        <f t="shared" si="3"/>
        <v>-336992.93999999994</v>
      </c>
      <c r="I29" s="105">
        <f t="shared" si="4"/>
        <v>-0.58897965910017014</v>
      </c>
      <c r="J29" s="106"/>
      <c r="K29" s="102">
        <v>572166</v>
      </c>
      <c r="L29" s="102">
        <f t="shared" si="5"/>
        <v>2.0300000000279397</v>
      </c>
      <c r="M29" s="103"/>
      <c r="N29" s="102">
        <v>219724</v>
      </c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</row>
    <row r="30" spans="1:26" ht="15.9" hidden="1" customHeight="1" x14ac:dyDescent="0.3">
      <c r="A30" s="95"/>
      <c r="B30" s="65"/>
      <c r="C30" s="66"/>
      <c r="D30" s="37"/>
      <c r="E30" s="66"/>
      <c r="F30" s="66"/>
      <c r="G30" s="66"/>
      <c r="H30" s="108"/>
      <c r="I30" s="73"/>
      <c r="K30" s="66"/>
      <c r="L30" s="66"/>
      <c r="M30" s="37"/>
      <c r="N30" s="66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s="70" customFormat="1" ht="15.9" customHeight="1" x14ac:dyDescent="0.3">
      <c r="A31" s="95">
        <v>126</v>
      </c>
      <c r="B31" s="96" t="s">
        <v>135</v>
      </c>
      <c r="C31" s="114">
        <f>+C4-C12</f>
        <v>1643132.7200000212</v>
      </c>
      <c r="D31" s="115"/>
      <c r="E31" s="114">
        <v>1643134</v>
      </c>
      <c r="F31" s="114">
        <f>E31-C31</f>
        <v>1.2799999788403511</v>
      </c>
      <c r="G31" s="114">
        <f>+G4-G12</f>
        <v>998896.55000004172</v>
      </c>
      <c r="H31" s="116">
        <f>C31-G31</f>
        <v>644236.16999997944</v>
      </c>
      <c r="I31" s="117">
        <f>IF(H31=0,0,H31/G31)</f>
        <v>0.64494783769145314</v>
      </c>
      <c r="J31" s="118"/>
      <c r="K31" s="114">
        <v>998896</v>
      </c>
      <c r="L31" s="114">
        <f>K31-G31</f>
        <v>-0.55000004172325134</v>
      </c>
      <c r="M31" s="115"/>
      <c r="N31" s="114">
        <f>+N4-N12</f>
        <v>463943</v>
      </c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</row>
    <row r="32" spans="1:26" ht="15.9" hidden="1" customHeight="1" x14ac:dyDescent="0.3">
      <c r="A32" s="95"/>
      <c r="B32" s="65"/>
      <c r="C32" s="66"/>
      <c r="D32" s="37"/>
      <c r="E32" s="66"/>
      <c r="F32" s="66"/>
      <c r="G32" s="66"/>
      <c r="H32" s="108"/>
      <c r="I32" s="73"/>
      <c r="K32" s="66"/>
      <c r="L32" s="66" t="e">
        <f>#REF!-G32</f>
        <v>#REF!</v>
      </c>
      <c r="M32" s="37"/>
      <c r="N32" s="66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s="70" customFormat="1" ht="15.9" customHeight="1" x14ac:dyDescent="0.3">
      <c r="A33" s="95">
        <v>128</v>
      </c>
      <c r="B33" s="96" t="s">
        <v>136</v>
      </c>
      <c r="C33" s="97">
        <f>-SUM(C34:C37)</f>
        <v>-849730.03</v>
      </c>
      <c r="D33" s="98"/>
      <c r="E33" s="97">
        <v>-849731</v>
      </c>
      <c r="F33" s="97">
        <f>E33-C33</f>
        <v>-0.96999999997206032</v>
      </c>
      <c r="G33" s="97">
        <f>-SUM(G34:G37)</f>
        <v>-478269.39999999991</v>
      </c>
      <c r="H33" s="110">
        <f>C33-G33</f>
        <v>-371460.63000000012</v>
      </c>
      <c r="I33" s="111">
        <f>IF(H33=0,0,H33/G33)</f>
        <v>0.77667655509635403</v>
      </c>
      <c r="J33" s="100"/>
      <c r="K33" s="97">
        <v>-478269</v>
      </c>
      <c r="L33" s="97">
        <f>K33-G33</f>
        <v>0.39999999990686774</v>
      </c>
      <c r="M33" s="98"/>
      <c r="N33" s="97">
        <f>-SUM(N34:N37)</f>
        <v>-342272</v>
      </c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</row>
    <row r="34" spans="1:26" ht="15.9" customHeight="1" x14ac:dyDescent="0.3">
      <c r="A34" s="95">
        <v>129</v>
      </c>
      <c r="B34" s="101" t="s">
        <v>137</v>
      </c>
      <c r="C34" s="102">
        <f>SUMIF('Leadsheet 31.12'!G:G,'Conto economico'!B34,'Leadsheet 31.12'!D:D)</f>
        <v>-126.73</v>
      </c>
      <c r="D34" s="103"/>
      <c r="E34" s="102">
        <v>-127</v>
      </c>
      <c r="F34" s="102">
        <f>E34-C34</f>
        <v>-0.26999999999999602</v>
      </c>
      <c r="G34" s="102">
        <f>SUMIF('Leadsheet 31.12'!G:G,'Conto economico'!B34,'Leadsheet 31.12'!E:E)</f>
        <v>-104.69</v>
      </c>
      <c r="H34" s="104">
        <f>C34-G34</f>
        <v>-22.040000000000006</v>
      </c>
      <c r="I34" s="105">
        <f>IF(H34=0,0,H34/G34)</f>
        <v>0.21052631578947376</v>
      </c>
      <c r="J34" s="106"/>
      <c r="K34" s="102">
        <v>-105</v>
      </c>
      <c r="L34" s="102">
        <f>K34-G34</f>
        <v>-0.31000000000000227</v>
      </c>
      <c r="M34" s="103"/>
      <c r="N34" s="102">
        <v>-33</v>
      </c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</row>
    <row r="35" spans="1:26" ht="15.9" customHeight="1" x14ac:dyDescent="0.3">
      <c r="A35" s="95">
        <v>130</v>
      </c>
      <c r="B35" s="101" t="s">
        <v>138</v>
      </c>
      <c r="C35" s="102">
        <f>SUMIF('Leadsheet 31.12'!G:G,'Conto economico'!B35,'Leadsheet 31.12'!D:D)</f>
        <v>-107449.73999999999</v>
      </c>
      <c r="D35" s="103"/>
      <c r="E35" s="102">
        <v>-107449</v>
      </c>
      <c r="F35" s="102">
        <f>E35-C35</f>
        <v>0.73999999999068677</v>
      </c>
      <c r="G35" s="102">
        <f>SUMIF('Leadsheet 31.12'!G:G,'Conto economico'!B35,'Leadsheet 31.12'!E:E)</f>
        <v>-6831.01</v>
      </c>
      <c r="H35" s="104">
        <f>C35-G35</f>
        <v>-100618.73</v>
      </c>
      <c r="I35" s="105">
        <f>IF(H35=0,0,H35/G35)</f>
        <v>14.729700293221645</v>
      </c>
      <c r="J35" s="106"/>
      <c r="K35" s="102">
        <v>-6831</v>
      </c>
      <c r="L35" s="102">
        <f>K35-G35</f>
        <v>1.0000000000218279E-2</v>
      </c>
      <c r="M35" s="103"/>
      <c r="N35" s="102">
        <v>-6126</v>
      </c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</row>
    <row r="36" spans="1:26" ht="15.9" customHeight="1" x14ac:dyDescent="0.3">
      <c r="A36" s="95">
        <v>131</v>
      </c>
      <c r="B36" s="119" t="s">
        <v>139</v>
      </c>
      <c r="C36" s="102">
        <f>SUMIF('Leadsheet 31.12'!G:G,'Conto economico'!B36,'Leadsheet 31.12'!D:D)</f>
        <v>957306.5</v>
      </c>
      <c r="D36" s="103"/>
      <c r="E36" s="102">
        <v>957307</v>
      </c>
      <c r="F36" s="102">
        <f>E36-C36</f>
        <v>0.5</v>
      </c>
      <c r="G36" s="102">
        <f>SUMIF('Leadsheet 31.12'!G:G,'Conto economico'!B36,'Leadsheet 31.12'!E:E)</f>
        <v>485205.09999999992</v>
      </c>
      <c r="H36" s="104">
        <f>C36-G36</f>
        <v>472101.40000000008</v>
      </c>
      <c r="I36" s="105">
        <f>IF(H36=0,0,H36/G36)</f>
        <v>0.97299348254995699</v>
      </c>
      <c r="J36" s="106"/>
      <c r="K36" s="102">
        <v>485205</v>
      </c>
      <c r="L36" s="102">
        <f>K36-G36</f>
        <v>-9.9999999918509275E-2</v>
      </c>
      <c r="M36" s="103"/>
      <c r="N36" s="102">
        <v>348431</v>
      </c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</row>
    <row r="37" spans="1:26" ht="15.9" hidden="1" customHeight="1" x14ac:dyDescent="0.3">
      <c r="A37" s="95">
        <v>132</v>
      </c>
      <c r="B37" s="101" t="s">
        <v>140</v>
      </c>
      <c r="C37" s="102">
        <f>SUMIF('Leadsheet 31.12'!G:G,'Conto economico'!B37,'Leadsheet 31.12'!D:D)</f>
        <v>0</v>
      </c>
      <c r="D37" s="103"/>
      <c r="E37" s="102">
        <v>0</v>
      </c>
      <c r="F37" s="102">
        <f>E37-C37</f>
        <v>0</v>
      </c>
      <c r="G37" s="102">
        <f>SUMIF('Leadsheet 31.12'!G:G,'Conto economico'!B37,'Leadsheet 31.12'!E:E)</f>
        <v>0</v>
      </c>
      <c r="H37" s="104">
        <f>C37-G37</f>
        <v>0</v>
      </c>
      <c r="I37" s="105">
        <f>IF(H37=0,0,H37/G37)</f>
        <v>0</v>
      </c>
      <c r="J37" s="106"/>
      <c r="K37" s="102">
        <v>0</v>
      </c>
      <c r="L37" s="102" t="e">
        <f>#REF!-G37</f>
        <v>#REF!</v>
      </c>
      <c r="M37" s="103"/>
      <c r="N37" s="102">
        <v>0</v>
      </c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</row>
    <row r="38" spans="1:26" ht="15.9" hidden="1" customHeight="1" x14ac:dyDescent="0.3">
      <c r="A38" s="95"/>
      <c r="B38" s="101"/>
      <c r="C38" s="102"/>
      <c r="D38" s="103"/>
      <c r="E38" s="102"/>
      <c r="F38" s="102"/>
      <c r="G38" s="102"/>
      <c r="H38" s="104"/>
      <c r="I38" s="105"/>
      <c r="J38" s="106"/>
      <c r="K38" s="102"/>
      <c r="L38" s="102" t="e">
        <f>#REF!-G38</f>
        <v>#REF!</v>
      </c>
      <c r="M38" s="103"/>
      <c r="N38" s="102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</row>
    <row r="39" spans="1:26" s="70" customFormat="1" ht="15.9" customHeight="1" x14ac:dyDescent="0.3">
      <c r="A39" s="95">
        <v>134</v>
      </c>
      <c r="B39" s="61" t="s">
        <v>141</v>
      </c>
      <c r="C39" s="97">
        <f>SUM(C40:C41)</f>
        <v>0</v>
      </c>
      <c r="D39" s="98"/>
      <c r="E39" s="97">
        <v>0</v>
      </c>
      <c r="F39" s="97">
        <f>E39-C39</f>
        <v>0</v>
      </c>
      <c r="G39" s="97">
        <f>-SUM(G40:G41)</f>
        <v>13548</v>
      </c>
      <c r="H39" s="110">
        <f>C39-G39</f>
        <v>-13548</v>
      </c>
      <c r="I39" s="111">
        <f>IF(H39=0,0,H39/G39)</f>
        <v>-1</v>
      </c>
      <c r="J39" s="100"/>
      <c r="K39" s="97">
        <v>13548</v>
      </c>
      <c r="L39" s="97">
        <f t="shared" ref="L39:L49" si="6">K39-G39</f>
        <v>0</v>
      </c>
      <c r="M39" s="98"/>
      <c r="N39" s="97">
        <f>-SUM(N40:N41)</f>
        <v>-13548</v>
      </c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</row>
    <row r="40" spans="1:26" ht="15.9" customHeight="1" x14ac:dyDescent="0.3">
      <c r="A40" s="95">
        <v>135</v>
      </c>
      <c r="B40" s="65" t="s">
        <v>142</v>
      </c>
      <c r="C40" s="102">
        <f>-SUMIF('Leadsheet 31.12'!G:G,'Conto economico'!B40,'Leadsheet 31.12'!D:D)</f>
        <v>0</v>
      </c>
      <c r="D40" s="103"/>
      <c r="E40" s="66">
        <v>0</v>
      </c>
      <c r="F40" s="66">
        <f>E40-C40</f>
        <v>0</v>
      </c>
      <c r="G40" s="102">
        <f>SUMIF('Leadsheet 31.12'!G:G,'Conto economico'!B40,'Leadsheet 31.12'!E:E)</f>
        <v>-13555</v>
      </c>
      <c r="H40" s="108">
        <f>C40-G40</f>
        <v>13555</v>
      </c>
      <c r="I40" s="73">
        <f>IF(H40=0,0,H40/G40)</f>
        <v>-1</v>
      </c>
      <c r="K40" s="66">
        <v>-13555</v>
      </c>
      <c r="L40" s="66">
        <f t="shared" si="6"/>
        <v>0</v>
      </c>
      <c r="M40" s="37"/>
      <c r="N40" s="66">
        <v>-7</v>
      </c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5.9" customHeight="1" x14ac:dyDescent="0.3">
      <c r="A41" s="95">
        <v>136</v>
      </c>
      <c r="B41" s="65" t="s">
        <v>143</v>
      </c>
      <c r="C41" s="102">
        <f>-SUMIF('Leadsheet 31.12'!G:G,'Conto economico'!B41,'Leadsheet 31.12'!D:D)</f>
        <v>0</v>
      </c>
      <c r="D41" s="103"/>
      <c r="E41" s="66">
        <v>0</v>
      </c>
      <c r="F41" s="66">
        <f>E41-C41</f>
        <v>0</v>
      </c>
      <c r="G41" s="102">
        <f>SUMIF('Leadsheet 31.12'!G:G,'Conto economico'!B41,'Leadsheet 31.12'!E:E)</f>
        <v>7</v>
      </c>
      <c r="H41" s="108">
        <f>C41-G41</f>
        <v>-7</v>
      </c>
      <c r="I41" s="73">
        <f>IF(H41=0,0,H41/G41)</f>
        <v>-1</v>
      </c>
      <c r="K41" s="66">
        <v>7</v>
      </c>
      <c r="L41" s="66">
        <f t="shared" si="6"/>
        <v>0</v>
      </c>
      <c r="M41" s="37"/>
      <c r="N41" s="66">
        <v>13555</v>
      </c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5.9" hidden="1" customHeight="1" x14ac:dyDescent="0.3">
      <c r="A42" s="95"/>
      <c r="B42" s="65"/>
      <c r="C42" s="66"/>
      <c r="D42" s="37"/>
      <c r="E42" s="66"/>
      <c r="F42" s="66"/>
      <c r="G42" s="66"/>
      <c r="H42" s="108"/>
      <c r="I42" s="73"/>
      <c r="K42" s="66"/>
      <c r="L42" s="66">
        <f t="shared" si="6"/>
        <v>0</v>
      </c>
      <c r="M42" s="37"/>
      <c r="N42" s="66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5.9" hidden="1" customHeight="1" x14ac:dyDescent="0.3">
      <c r="A43" s="95"/>
      <c r="B43" s="65"/>
      <c r="C43" s="66"/>
      <c r="D43" s="37"/>
      <c r="E43" s="66"/>
      <c r="F43" s="66"/>
      <c r="G43" s="66"/>
      <c r="H43" s="108"/>
      <c r="I43" s="73"/>
      <c r="K43" s="66"/>
      <c r="L43" s="66">
        <f t="shared" si="6"/>
        <v>0</v>
      </c>
      <c r="M43" s="37"/>
      <c r="N43" s="66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s="70" customFormat="1" ht="15.9" customHeight="1" x14ac:dyDescent="0.3">
      <c r="A44" s="95">
        <v>139</v>
      </c>
      <c r="B44" s="96" t="s">
        <v>144</v>
      </c>
      <c r="C44" s="114">
        <f>+C31+C33+C39</f>
        <v>793402.69000002113</v>
      </c>
      <c r="D44" s="115"/>
      <c r="E44" s="114">
        <v>793403</v>
      </c>
      <c r="F44" s="114">
        <f>E44-C44</f>
        <v>0.30999997886829078</v>
      </c>
      <c r="G44" s="114">
        <f>+G31+G33+G39</f>
        <v>534175.15000004182</v>
      </c>
      <c r="H44" s="116">
        <f>C44-G44</f>
        <v>259227.53999997932</v>
      </c>
      <c r="I44" s="117">
        <f>IF(H44=0,0,H44/G44)</f>
        <v>0.48528565958180386</v>
      </c>
      <c r="J44" s="118"/>
      <c r="K44" s="114">
        <v>534175.44999999995</v>
      </c>
      <c r="L44" s="114">
        <f t="shared" si="6"/>
        <v>0.29999995813705027</v>
      </c>
      <c r="M44" s="115"/>
      <c r="N44" s="114">
        <f>+N31+N33+N39</f>
        <v>108123</v>
      </c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</row>
    <row r="45" spans="1:26" s="70" customFormat="1" x14ac:dyDescent="0.3">
      <c r="A45" s="95">
        <v>140</v>
      </c>
      <c r="B45" s="61" t="s">
        <v>145</v>
      </c>
      <c r="C45" s="114">
        <f>+SUM(C46:C47)</f>
        <v>210623.68</v>
      </c>
      <c r="D45" s="115"/>
      <c r="E45" s="114">
        <v>210624</v>
      </c>
      <c r="F45" s="114">
        <f>E45-C45</f>
        <v>0.32000000000698492</v>
      </c>
      <c r="G45" s="114">
        <f t="shared" ref="G45:H45" si="7">+SUM(G46:G47)</f>
        <v>26610.190000000002</v>
      </c>
      <c r="H45" s="114">
        <f t="shared" si="7"/>
        <v>184013.49</v>
      </c>
      <c r="I45" s="117">
        <f>IF(H45=0,0,H45/G45)</f>
        <v>6.9151513010617354</v>
      </c>
      <c r="J45" s="118"/>
      <c r="K45" s="114">
        <v>26610</v>
      </c>
      <c r="L45" s="114">
        <f t="shared" si="6"/>
        <v>-0.19000000000232831</v>
      </c>
      <c r="M45" s="115"/>
      <c r="N45" s="114">
        <v>35778</v>
      </c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</row>
    <row r="46" spans="1:26" ht="15.9" customHeight="1" x14ac:dyDescent="0.3">
      <c r="A46" s="95">
        <v>141</v>
      </c>
      <c r="B46" s="101" t="s">
        <v>146</v>
      </c>
      <c r="C46" s="102">
        <f>SUMIF('Leadsheet 31.12'!G:G,'Conto economico'!B46,'Leadsheet 31.12'!D:D)</f>
        <v>109896</v>
      </c>
      <c r="D46" s="103"/>
      <c r="E46" s="102">
        <v>109896</v>
      </c>
      <c r="F46" s="102">
        <f>E46-C46</f>
        <v>0</v>
      </c>
      <c r="G46" s="102">
        <f>SUMIF('Leadsheet 31.12'!G:G,'Conto economico'!B46,'Leadsheet 31.12'!E:E)</f>
        <v>94710</v>
      </c>
      <c r="H46" s="104">
        <f>C46-G46</f>
        <v>15186</v>
      </c>
      <c r="I46" s="105">
        <f>IF(H46=0,0,H46/G46)</f>
        <v>0.16034209692746279</v>
      </c>
      <c r="J46" s="106"/>
      <c r="K46" s="102">
        <v>94710</v>
      </c>
      <c r="L46" s="102">
        <f t="shared" si="6"/>
        <v>0</v>
      </c>
      <c r="M46" s="103"/>
      <c r="N46" s="102">
        <v>35778</v>
      </c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</row>
    <row r="47" spans="1:26" ht="15.9" customHeight="1" x14ac:dyDescent="0.3">
      <c r="A47" s="95">
        <v>142</v>
      </c>
      <c r="B47" s="101" t="s">
        <v>147</v>
      </c>
      <c r="C47" s="102">
        <f>SUMIF('Leadsheet 31.12'!G:G,'Conto economico'!B47,'Leadsheet 31.12'!D:D)</f>
        <v>100727.67999999999</v>
      </c>
      <c r="D47" s="103"/>
      <c r="E47" s="102">
        <v>100728</v>
      </c>
      <c r="F47" s="102">
        <f>E47-C47</f>
        <v>0.32000000000698492</v>
      </c>
      <c r="G47" s="102">
        <f>SUMIF('Leadsheet 31.12'!G:G,'Conto economico'!B47,'Leadsheet 31.12'!E:E)</f>
        <v>-68099.81</v>
      </c>
      <c r="H47" s="104">
        <f>C47-G47</f>
        <v>168827.49</v>
      </c>
      <c r="I47" s="105">
        <f>IF(H47=0,0,H47/G47)</f>
        <v>-2.4791183705211512</v>
      </c>
      <c r="J47" s="106"/>
      <c r="K47" s="102">
        <v>-68100</v>
      </c>
      <c r="L47" s="102">
        <f t="shared" si="6"/>
        <v>-0.19000000000232831</v>
      </c>
      <c r="M47" s="103"/>
      <c r="N47" s="102">
        <v>0</v>
      </c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</row>
    <row r="48" spans="1:26" ht="15.9" hidden="1" customHeight="1" x14ac:dyDescent="0.3">
      <c r="A48" s="95"/>
      <c r="B48" s="65"/>
      <c r="C48" s="66"/>
      <c r="D48" s="37"/>
      <c r="E48" s="66"/>
      <c r="F48" s="66"/>
      <c r="G48" s="66"/>
      <c r="H48" s="108"/>
      <c r="I48" s="73"/>
      <c r="K48" s="66"/>
      <c r="L48" s="66">
        <f t="shared" si="6"/>
        <v>0</v>
      </c>
      <c r="M48" s="37"/>
      <c r="N48" s="6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s="70" customFormat="1" ht="15.9" customHeight="1" x14ac:dyDescent="0.3">
      <c r="A49" s="95">
        <v>144</v>
      </c>
      <c r="B49" s="96" t="s">
        <v>148</v>
      </c>
      <c r="C49" s="114">
        <f>+C44-C45</f>
        <v>582779.0100000212</v>
      </c>
      <c r="D49" s="115"/>
      <c r="E49" s="114">
        <v>582779</v>
      </c>
      <c r="F49" s="114">
        <f>E49-C49</f>
        <v>-1.0000021196901798E-2</v>
      </c>
      <c r="G49" s="114">
        <f>+G44-G45</f>
        <v>507564.96000004181</v>
      </c>
      <c r="H49" s="116">
        <f>C49-G49</f>
        <v>75214.049999979383</v>
      </c>
      <c r="I49" s="117">
        <f>IF(H49=0,0,H49/G49)</f>
        <v>0.14818605681521668</v>
      </c>
      <c r="J49" s="118"/>
      <c r="K49" s="114">
        <v>507565</v>
      </c>
      <c r="L49" s="114">
        <f t="shared" si="6"/>
        <v>3.9999958185944706E-2</v>
      </c>
      <c r="M49" s="115"/>
      <c r="N49" s="114">
        <f>+N44-N45</f>
        <v>72345</v>
      </c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</row>
    <row r="51" spans="1:26" s="89" customFormat="1" x14ac:dyDescent="0.3">
      <c r="B51" s="120" t="s">
        <v>105</v>
      </c>
      <c r="C51" s="121">
        <f>C49+'Leadsheet 31.12'!D6</f>
        <v>4.5634806156158447E-8</v>
      </c>
      <c r="D51" s="121"/>
      <c r="E51" s="121"/>
      <c r="F51" s="121"/>
      <c r="G51" s="121">
        <f>G49+'Leadsheet 31.12'!E6</f>
        <v>3.6670826375484467E-9</v>
      </c>
      <c r="H51" s="121"/>
      <c r="I51" s="122"/>
      <c r="J51" s="122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</row>
  </sheetData>
  <pageMargins left="0" right="0" top="0" bottom="0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11124-9AD3-4667-929F-E4659CE72803}">
  <sheetPr filterMode="1"/>
  <dimension ref="A1:K465"/>
  <sheetViews>
    <sheetView showGridLines="0" topLeftCell="A8" zoomScale="90" zoomScaleNormal="90" workbookViewId="0">
      <selection activeCell="D235" sqref="D235:D244"/>
    </sheetView>
  </sheetViews>
  <sheetFormatPr defaultRowHeight="14.4" x14ac:dyDescent="0.3"/>
  <cols>
    <col min="1" max="1" width="6.21875" style="2" customWidth="1"/>
    <col min="2" max="2" width="12.21875" style="123" bestFit="1" customWidth="1"/>
    <col min="3" max="3" width="37.77734375" style="2" customWidth="1"/>
    <col min="4" max="4" width="17.88671875" style="146" bestFit="1" customWidth="1"/>
    <col min="5" max="5" width="14.21875" style="146" bestFit="1" customWidth="1"/>
    <col min="6" max="6" width="13.5546875" style="162" customWidth="1"/>
    <col min="7" max="7" width="39.5546875" style="155" customWidth="1"/>
    <col min="8" max="8" width="8.33203125" style="123" customWidth="1"/>
    <col min="9" max="9" width="8.88671875" style="2"/>
    <col min="10" max="11" width="10.77734375" style="2" bestFit="1" customWidth="1"/>
    <col min="12" max="16384" width="8.88671875" style="2"/>
  </cols>
  <sheetData>
    <row r="1" spans="1:11" x14ac:dyDescent="0.3">
      <c r="A1" s="3" t="s">
        <v>149</v>
      </c>
      <c r="D1" s="124"/>
      <c r="E1" s="124"/>
      <c r="F1" s="125"/>
      <c r="G1" s="126"/>
    </row>
    <row r="2" spans="1:11" x14ac:dyDescent="0.3">
      <c r="A2" s="3" t="s">
        <v>150</v>
      </c>
      <c r="C2" s="127"/>
      <c r="D2" s="124"/>
      <c r="E2" s="124"/>
      <c r="F2" s="125"/>
      <c r="G2" s="128"/>
      <c r="J2" s="129"/>
      <c r="K2" s="129"/>
    </row>
    <row r="3" spans="1:11" x14ac:dyDescent="0.3">
      <c r="A3" s="4" t="s">
        <v>151</v>
      </c>
      <c r="D3" s="124"/>
      <c r="E3" s="124"/>
      <c r="F3" s="125"/>
      <c r="G3" s="126"/>
    </row>
    <row r="4" spans="1:11" x14ac:dyDescent="0.3">
      <c r="A4" s="4"/>
      <c r="D4" s="124"/>
      <c r="E4" s="124"/>
      <c r="F4" s="125"/>
      <c r="G4" s="126"/>
    </row>
    <row r="5" spans="1:11" ht="15" thickBot="1" x14ac:dyDescent="0.35">
      <c r="C5" s="130" t="s">
        <v>105</v>
      </c>
      <c r="D5" s="131">
        <f>ROUND(SUM(D9:D999487),0)</f>
        <v>0</v>
      </c>
      <c r="E5" s="131">
        <f>ROUND(SUM(E9:E999487),0)</f>
        <v>0</v>
      </c>
      <c r="F5" s="131">
        <f>ROUND(SUM(F9:F999487),0)</f>
        <v>0</v>
      </c>
      <c r="G5" s="132"/>
    </row>
    <row r="6" spans="1:11" ht="15" thickBot="1" x14ac:dyDescent="0.35">
      <c r="C6" s="133" t="s">
        <v>152</v>
      </c>
      <c r="D6" s="134">
        <f>SUMIF($H$9:$H$999487,"R",D$9:D$999487)+SUMIF($H$9:$H$999487,"C",D$9:D$999487)</f>
        <v>-582779.00999997556</v>
      </c>
      <c r="E6" s="134">
        <f>SUMIF($H$9:$H$999487,"R",E$9:E$999487)+SUMIF($H$9:$H$999487,"C",E$9:E$999487)</f>
        <v>-507564.96000003815</v>
      </c>
      <c r="F6" s="135"/>
      <c r="G6" s="135"/>
    </row>
    <row r="7" spans="1:11" x14ac:dyDescent="0.3">
      <c r="B7" s="136"/>
      <c r="C7" s="5"/>
      <c r="D7" s="124"/>
      <c r="E7" s="124"/>
      <c r="F7" s="137"/>
      <c r="G7" s="126"/>
      <c r="H7" s="136"/>
    </row>
    <row r="8" spans="1:11" ht="28.8" x14ac:dyDescent="0.3">
      <c r="B8" s="138" t="s">
        <v>153</v>
      </c>
      <c r="C8" s="139" t="s">
        <v>154</v>
      </c>
      <c r="D8" s="140" t="s">
        <v>24</v>
      </c>
      <c r="E8" s="140" t="s">
        <v>155</v>
      </c>
      <c r="F8" s="141" t="s">
        <v>156</v>
      </c>
      <c r="G8" s="142" t="s">
        <v>157</v>
      </c>
      <c r="H8" s="143" t="s">
        <v>158</v>
      </c>
    </row>
    <row r="9" spans="1:11" customFormat="1" hidden="1" x14ac:dyDescent="0.3">
      <c r="B9" s="144">
        <v>110201010</v>
      </c>
      <c r="C9" s="145" t="s">
        <v>159</v>
      </c>
      <c r="D9" s="146">
        <v>146589.82999999999</v>
      </c>
      <c r="E9" s="146">
        <v>137936.76999999999</v>
      </c>
      <c r="F9" s="147">
        <f t="shared" ref="F9:F72" si="0">D9-E9</f>
        <v>8653.0599999999977</v>
      </c>
      <c r="G9" s="148" t="s">
        <v>39</v>
      </c>
      <c r="H9" s="149" t="s">
        <v>160</v>
      </c>
    </row>
    <row r="10" spans="1:11" customFormat="1" hidden="1" x14ac:dyDescent="0.3">
      <c r="B10" s="144">
        <v>110201510</v>
      </c>
      <c r="C10" s="145" t="s">
        <v>161</v>
      </c>
      <c r="D10" s="146">
        <v>-142263.23000000001</v>
      </c>
      <c r="E10" s="146">
        <v>-134679.12</v>
      </c>
      <c r="F10" s="147">
        <f t="shared" si="0"/>
        <v>-7584.1100000000151</v>
      </c>
      <c r="G10" s="148" t="s">
        <v>39</v>
      </c>
      <c r="H10" s="149" t="s">
        <v>160</v>
      </c>
    </row>
    <row r="11" spans="1:11" customFormat="1" hidden="1" x14ac:dyDescent="0.3">
      <c r="B11" s="144">
        <v>110301010</v>
      </c>
      <c r="C11" s="145" t="s">
        <v>162</v>
      </c>
      <c r="D11" s="146">
        <v>9710.25</v>
      </c>
      <c r="E11" s="146">
        <v>11519.86</v>
      </c>
      <c r="F11" s="147">
        <f t="shared" si="0"/>
        <v>-1809.6100000000006</v>
      </c>
      <c r="G11" s="148" t="s">
        <v>40</v>
      </c>
      <c r="H11" s="149" t="s">
        <v>160</v>
      </c>
    </row>
    <row r="12" spans="1:11" customFormat="1" hidden="1" x14ac:dyDescent="0.3">
      <c r="B12" s="144">
        <v>110609060</v>
      </c>
      <c r="C12" s="145" t="s">
        <v>163</v>
      </c>
      <c r="D12" s="146">
        <v>4654.4799999999996</v>
      </c>
      <c r="E12" s="146">
        <v>26263.67</v>
      </c>
      <c r="F12" s="147">
        <f t="shared" si="0"/>
        <v>-21609.19</v>
      </c>
      <c r="G12" s="148" t="s">
        <v>42</v>
      </c>
      <c r="H12" s="149" t="s">
        <v>160</v>
      </c>
    </row>
    <row r="13" spans="1:11" customFormat="1" hidden="1" x14ac:dyDescent="0.3">
      <c r="B13" s="144">
        <v>110609030</v>
      </c>
      <c r="C13" s="145" t="s">
        <v>164</v>
      </c>
      <c r="D13" s="146">
        <v>1572.13</v>
      </c>
      <c r="E13" s="146">
        <v>2202.13</v>
      </c>
      <c r="F13" s="147">
        <f t="shared" si="0"/>
        <v>-630</v>
      </c>
      <c r="G13" s="148" t="s">
        <v>42</v>
      </c>
      <c r="H13" s="149" t="s">
        <v>160</v>
      </c>
    </row>
    <row r="14" spans="1:11" customFormat="1" hidden="1" x14ac:dyDescent="0.3">
      <c r="B14" s="144">
        <v>110609010</v>
      </c>
      <c r="C14" s="145" t="s">
        <v>165</v>
      </c>
      <c r="D14" s="146">
        <v>235.35</v>
      </c>
      <c r="E14" s="146">
        <v>313.8</v>
      </c>
      <c r="F14" s="147">
        <f t="shared" si="0"/>
        <v>-78.450000000000017</v>
      </c>
      <c r="G14" s="148" t="s">
        <v>42</v>
      </c>
      <c r="H14" s="149" t="s">
        <v>160</v>
      </c>
    </row>
    <row r="15" spans="1:11" customFormat="1" hidden="1" x14ac:dyDescent="0.3">
      <c r="B15" s="144">
        <v>120000035</v>
      </c>
      <c r="C15" s="145" t="s">
        <v>166</v>
      </c>
      <c r="D15" s="146">
        <v>77850.399999999994</v>
      </c>
      <c r="E15" s="146">
        <v>77850.399999999994</v>
      </c>
      <c r="F15" s="147">
        <f t="shared" si="0"/>
        <v>0</v>
      </c>
      <c r="G15" s="148" t="s">
        <v>44</v>
      </c>
      <c r="H15" s="149" t="s">
        <v>160</v>
      </c>
    </row>
    <row r="16" spans="1:11" customFormat="1" hidden="1" x14ac:dyDescent="0.3">
      <c r="B16" s="144">
        <v>120000005</v>
      </c>
      <c r="C16" s="145" t="s">
        <v>167</v>
      </c>
      <c r="D16" s="146">
        <v>77820.240000000005</v>
      </c>
      <c r="E16" s="146">
        <v>77820.240000000005</v>
      </c>
      <c r="F16" s="147">
        <f t="shared" si="0"/>
        <v>0</v>
      </c>
      <c r="G16" s="148" t="s">
        <v>44</v>
      </c>
      <c r="H16" s="149" t="s">
        <v>160</v>
      </c>
    </row>
    <row r="17" spans="2:8" customFormat="1" hidden="1" x14ac:dyDescent="0.3">
      <c r="B17" s="144">
        <v>120000010</v>
      </c>
      <c r="C17" s="145" t="s">
        <v>168</v>
      </c>
      <c r="D17" s="146">
        <v>72916.990000000005</v>
      </c>
      <c r="E17" s="146">
        <v>72916.990000000005</v>
      </c>
      <c r="F17" s="147">
        <f t="shared" si="0"/>
        <v>0</v>
      </c>
      <c r="G17" s="148" t="s">
        <v>44</v>
      </c>
      <c r="H17" s="149" t="s">
        <v>160</v>
      </c>
    </row>
    <row r="18" spans="2:8" customFormat="1" hidden="1" x14ac:dyDescent="0.3">
      <c r="B18" s="144">
        <v>120000015</v>
      </c>
      <c r="C18" s="145" t="s">
        <v>169</v>
      </c>
      <c r="D18" s="146">
        <v>57750</v>
      </c>
      <c r="E18" s="146">
        <v>57750</v>
      </c>
      <c r="F18" s="147">
        <f t="shared" si="0"/>
        <v>0</v>
      </c>
      <c r="G18" s="148" t="s">
        <v>44</v>
      </c>
      <c r="H18" s="149" t="s">
        <v>160</v>
      </c>
    </row>
    <row r="19" spans="2:8" customFormat="1" hidden="1" x14ac:dyDescent="0.3">
      <c r="B19" s="144">
        <v>120000020</v>
      </c>
      <c r="C19" s="145" t="s">
        <v>170</v>
      </c>
      <c r="D19" s="146">
        <v>33350</v>
      </c>
      <c r="E19" s="146">
        <v>33350</v>
      </c>
      <c r="F19" s="147">
        <f t="shared" si="0"/>
        <v>0</v>
      </c>
      <c r="G19" s="148" t="s">
        <v>44</v>
      </c>
      <c r="H19" s="149" t="s">
        <v>160</v>
      </c>
    </row>
    <row r="20" spans="2:8" customFormat="1" hidden="1" x14ac:dyDescent="0.3">
      <c r="B20" s="144">
        <v>120000025</v>
      </c>
      <c r="C20" s="145" t="s">
        <v>171</v>
      </c>
      <c r="D20" s="146">
        <v>718193.5</v>
      </c>
      <c r="E20" s="146">
        <v>718193.5</v>
      </c>
      <c r="F20" s="147">
        <f t="shared" si="0"/>
        <v>0</v>
      </c>
      <c r="G20" s="148" t="s">
        <v>44</v>
      </c>
      <c r="H20" s="149" t="s">
        <v>160</v>
      </c>
    </row>
    <row r="21" spans="2:8" customFormat="1" hidden="1" x14ac:dyDescent="0.3">
      <c r="B21" s="144">
        <v>120000030</v>
      </c>
      <c r="C21" s="145" t="s">
        <v>172</v>
      </c>
      <c r="D21" s="146">
        <v>226387.27</v>
      </c>
      <c r="E21" s="146">
        <v>226387.27</v>
      </c>
      <c r="F21" s="147">
        <f t="shared" si="0"/>
        <v>0</v>
      </c>
      <c r="G21" s="148" t="s">
        <v>44</v>
      </c>
      <c r="H21" s="149" t="s">
        <v>160</v>
      </c>
    </row>
    <row r="22" spans="2:8" customFormat="1" hidden="1" x14ac:dyDescent="0.3">
      <c r="B22" s="144">
        <v>120001010</v>
      </c>
      <c r="C22" s="145" t="s">
        <v>173</v>
      </c>
      <c r="D22" s="146">
        <v>466593.28000000003</v>
      </c>
      <c r="E22" s="146">
        <v>462403.28</v>
      </c>
      <c r="F22" s="147">
        <f t="shared" si="0"/>
        <v>4190</v>
      </c>
      <c r="G22" s="148" t="s">
        <v>44</v>
      </c>
      <c r="H22" s="149" t="s">
        <v>160</v>
      </c>
    </row>
    <row r="23" spans="2:8" customFormat="1" hidden="1" x14ac:dyDescent="0.3">
      <c r="B23" s="144">
        <v>120001510</v>
      </c>
      <c r="C23" s="145" t="s">
        <v>174</v>
      </c>
      <c r="D23" s="146">
        <v>-125405.06</v>
      </c>
      <c r="E23" s="146">
        <v>-116073.2</v>
      </c>
      <c r="F23" s="147">
        <f t="shared" si="0"/>
        <v>-9331.86</v>
      </c>
      <c r="G23" s="148" t="s">
        <v>44</v>
      </c>
      <c r="H23" s="149" t="s">
        <v>160</v>
      </c>
    </row>
    <row r="24" spans="2:8" customFormat="1" hidden="1" x14ac:dyDescent="0.3">
      <c r="B24" s="144">
        <v>120002010</v>
      </c>
      <c r="C24" s="145" t="s">
        <v>175</v>
      </c>
      <c r="D24" s="146">
        <v>7249694.6500000004</v>
      </c>
      <c r="E24" s="146">
        <v>7239184.6500000004</v>
      </c>
      <c r="F24" s="147">
        <f t="shared" si="0"/>
        <v>10510</v>
      </c>
      <c r="G24" s="148" t="s">
        <v>44</v>
      </c>
      <c r="H24" s="149" t="s">
        <v>160</v>
      </c>
    </row>
    <row r="25" spans="2:8" customFormat="1" hidden="1" x14ac:dyDescent="0.3">
      <c r="B25" s="144">
        <v>120002015</v>
      </c>
      <c r="C25" s="145" t="s">
        <v>176</v>
      </c>
      <c r="D25" s="146">
        <v>268712.56</v>
      </c>
      <c r="E25" s="146">
        <v>268712.56</v>
      </c>
      <c r="F25" s="147">
        <f t="shared" si="0"/>
        <v>0</v>
      </c>
      <c r="G25" s="148" t="s">
        <v>44</v>
      </c>
      <c r="H25" s="149" t="s">
        <v>160</v>
      </c>
    </row>
    <row r="26" spans="2:8" customFormat="1" hidden="1" x14ac:dyDescent="0.3">
      <c r="B26" s="144">
        <v>120002510</v>
      </c>
      <c r="C26" s="145" t="s">
        <v>177</v>
      </c>
      <c r="D26" s="146">
        <v>-1852277.16</v>
      </c>
      <c r="E26" s="146">
        <v>-1707281.19</v>
      </c>
      <c r="F26" s="147">
        <f t="shared" si="0"/>
        <v>-144995.96999999997</v>
      </c>
      <c r="G26" s="148" t="s">
        <v>44</v>
      </c>
      <c r="H26" s="149" t="s">
        <v>160</v>
      </c>
    </row>
    <row r="27" spans="2:8" customFormat="1" hidden="1" x14ac:dyDescent="0.3">
      <c r="B27" s="144">
        <v>120003010</v>
      </c>
      <c r="C27" s="145" t="s">
        <v>178</v>
      </c>
      <c r="D27" s="146">
        <v>47257.68</v>
      </c>
      <c r="E27" s="146">
        <v>47257.68</v>
      </c>
      <c r="F27" s="147">
        <f t="shared" si="0"/>
        <v>0</v>
      </c>
      <c r="G27" s="148" t="s">
        <v>44</v>
      </c>
      <c r="H27" s="149" t="s">
        <v>160</v>
      </c>
    </row>
    <row r="28" spans="2:8" customFormat="1" hidden="1" x14ac:dyDescent="0.3">
      <c r="B28" s="144">
        <v>120003510</v>
      </c>
      <c r="C28" s="145" t="s">
        <v>179</v>
      </c>
      <c r="D28" s="146">
        <v>-47257.68</v>
      </c>
      <c r="E28" s="146">
        <v>-47257.68</v>
      </c>
      <c r="F28" s="147">
        <f t="shared" si="0"/>
        <v>0</v>
      </c>
      <c r="G28" s="148" t="s">
        <v>44</v>
      </c>
      <c r="H28" s="149" t="s">
        <v>160</v>
      </c>
    </row>
    <row r="29" spans="2:8" customFormat="1" hidden="1" x14ac:dyDescent="0.3">
      <c r="B29" s="144">
        <v>120010010</v>
      </c>
      <c r="C29" s="145" t="s">
        <v>180</v>
      </c>
      <c r="D29" s="146">
        <v>770725</v>
      </c>
      <c r="E29" s="146">
        <v>767943.4</v>
      </c>
      <c r="F29" s="147">
        <f t="shared" si="0"/>
        <v>2781.5999999999767</v>
      </c>
      <c r="G29" s="148" t="s">
        <v>44</v>
      </c>
      <c r="H29" s="149" t="s">
        <v>160</v>
      </c>
    </row>
    <row r="30" spans="2:8" customFormat="1" hidden="1" x14ac:dyDescent="0.3">
      <c r="B30" s="144">
        <v>120010015</v>
      </c>
      <c r="C30" s="145" t="s">
        <v>181</v>
      </c>
      <c r="D30" s="146">
        <v>245530</v>
      </c>
      <c r="E30" s="146">
        <v>245530</v>
      </c>
      <c r="F30" s="147">
        <f t="shared" si="0"/>
        <v>0</v>
      </c>
      <c r="G30" s="148" t="s">
        <v>44</v>
      </c>
      <c r="H30" s="149" t="s">
        <v>160</v>
      </c>
    </row>
    <row r="31" spans="2:8" customFormat="1" hidden="1" x14ac:dyDescent="0.3">
      <c r="B31" s="150">
        <v>120002020</v>
      </c>
      <c r="C31" s="151" t="s">
        <v>182</v>
      </c>
      <c r="D31" s="146">
        <v>1393145.51</v>
      </c>
      <c r="E31" s="152">
        <v>1284011.8999999999</v>
      </c>
      <c r="F31" s="147">
        <f t="shared" si="0"/>
        <v>109133.6100000001</v>
      </c>
      <c r="G31" s="153" t="s">
        <v>44</v>
      </c>
      <c r="H31" s="154" t="s">
        <v>160</v>
      </c>
    </row>
    <row r="32" spans="2:8" customFormat="1" hidden="1" x14ac:dyDescent="0.3">
      <c r="B32" s="150">
        <v>120002520</v>
      </c>
      <c r="C32" s="151" t="s">
        <v>183</v>
      </c>
      <c r="D32" s="146">
        <v>-40703.040000000001</v>
      </c>
      <c r="E32" s="152">
        <v>-12840.12</v>
      </c>
      <c r="F32" s="147">
        <f t="shared" si="0"/>
        <v>-27862.92</v>
      </c>
      <c r="G32" s="153" t="s">
        <v>44</v>
      </c>
      <c r="H32" s="154" t="s">
        <v>160</v>
      </c>
    </row>
    <row r="33" spans="2:8" customFormat="1" hidden="1" x14ac:dyDescent="0.3">
      <c r="B33" s="144">
        <v>120100030</v>
      </c>
      <c r="C33" s="145" t="s">
        <v>184</v>
      </c>
      <c r="D33" s="146">
        <v>94501.88</v>
      </c>
      <c r="E33" s="146">
        <v>94501.88</v>
      </c>
      <c r="F33" s="147">
        <f t="shared" si="0"/>
        <v>0</v>
      </c>
      <c r="G33" s="148" t="s">
        <v>45</v>
      </c>
      <c r="H33" s="149" t="s">
        <v>160</v>
      </c>
    </row>
    <row r="34" spans="2:8" customFormat="1" hidden="1" x14ac:dyDescent="0.3">
      <c r="B34" s="144">
        <v>120100530</v>
      </c>
      <c r="C34" s="145" t="s">
        <v>185</v>
      </c>
      <c r="D34" s="146">
        <v>-32599.26</v>
      </c>
      <c r="E34" s="146">
        <v>-23149.07</v>
      </c>
      <c r="F34" s="147">
        <f t="shared" si="0"/>
        <v>-9450.1899999999987</v>
      </c>
      <c r="G34" s="148" t="s">
        <v>45</v>
      </c>
      <c r="H34" s="149" t="s">
        <v>160</v>
      </c>
    </row>
    <row r="35" spans="2:8" customFormat="1" hidden="1" x14ac:dyDescent="0.3">
      <c r="B35" s="144">
        <v>120100010</v>
      </c>
      <c r="C35" s="145" t="s">
        <v>186</v>
      </c>
      <c r="D35" s="146">
        <v>10086993.27</v>
      </c>
      <c r="E35" s="146">
        <v>9990555.2200000007</v>
      </c>
      <c r="F35" s="147">
        <f t="shared" si="0"/>
        <v>96438.049999998882</v>
      </c>
      <c r="G35" s="148" t="s">
        <v>45</v>
      </c>
      <c r="H35" s="149" t="s">
        <v>160</v>
      </c>
    </row>
    <row r="36" spans="2:8" customFormat="1" hidden="1" x14ac:dyDescent="0.3">
      <c r="B36" s="144">
        <v>120100015</v>
      </c>
      <c r="C36" s="145" t="s">
        <v>187</v>
      </c>
      <c r="D36" s="146">
        <v>200105.56</v>
      </c>
      <c r="E36" s="146">
        <v>200105.56</v>
      </c>
      <c r="F36" s="147">
        <f t="shared" si="0"/>
        <v>0</v>
      </c>
      <c r="G36" s="148" t="s">
        <v>45</v>
      </c>
      <c r="H36" s="149" t="s">
        <v>160</v>
      </c>
    </row>
    <row r="37" spans="2:8" customFormat="1" hidden="1" x14ac:dyDescent="0.3">
      <c r="B37" s="144">
        <v>120100020</v>
      </c>
      <c r="C37" s="145" t="s">
        <v>188</v>
      </c>
      <c r="D37" s="146">
        <v>459497.79</v>
      </c>
      <c r="E37" s="146">
        <v>459497.79</v>
      </c>
      <c r="F37" s="147">
        <f t="shared" si="0"/>
        <v>0</v>
      </c>
      <c r="G37" s="148" t="s">
        <v>45</v>
      </c>
      <c r="H37" s="149" t="s">
        <v>160</v>
      </c>
    </row>
    <row r="38" spans="2:8" customFormat="1" hidden="1" x14ac:dyDescent="0.3">
      <c r="B38" s="144">
        <v>120100025</v>
      </c>
      <c r="C38" s="145" t="s">
        <v>189</v>
      </c>
      <c r="D38" s="146">
        <v>44011.23</v>
      </c>
      <c r="E38" s="146">
        <v>44011.23</v>
      </c>
      <c r="F38" s="147">
        <f t="shared" si="0"/>
        <v>0</v>
      </c>
      <c r="G38" s="148" t="s">
        <v>45</v>
      </c>
      <c r="H38" s="149" t="s">
        <v>160</v>
      </c>
    </row>
    <row r="39" spans="2:8" customFormat="1" hidden="1" x14ac:dyDescent="0.3">
      <c r="B39" s="144">
        <v>120100510</v>
      </c>
      <c r="C39" s="145" t="s">
        <v>190</v>
      </c>
      <c r="D39" s="146">
        <v>-6504086.2599999998</v>
      </c>
      <c r="E39" s="146">
        <v>-6025714.8700000001</v>
      </c>
      <c r="F39" s="147">
        <f t="shared" si="0"/>
        <v>-478371.38999999966</v>
      </c>
      <c r="G39" s="148" t="s">
        <v>45</v>
      </c>
      <c r="H39" s="149" t="s">
        <v>160</v>
      </c>
    </row>
    <row r="40" spans="2:8" customFormat="1" hidden="1" x14ac:dyDescent="0.3">
      <c r="B40" s="144">
        <v>120100515</v>
      </c>
      <c r="C40" s="145" t="s">
        <v>191</v>
      </c>
      <c r="D40" s="146">
        <v>-117591.03</v>
      </c>
      <c r="E40" s="146">
        <v>-117591.03</v>
      </c>
      <c r="F40" s="147">
        <f t="shared" si="0"/>
        <v>0</v>
      </c>
      <c r="G40" s="148" t="s">
        <v>45</v>
      </c>
      <c r="H40" s="149" t="s">
        <v>160</v>
      </c>
    </row>
    <row r="41" spans="2:8" customFormat="1" hidden="1" x14ac:dyDescent="0.3">
      <c r="B41" s="144">
        <v>120100520</v>
      </c>
      <c r="C41" s="145" t="s">
        <v>192</v>
      </c>
      <c r="D41" s="146">
        <v>-407639.7</v>
      </c>
      <c r="E41" s="146">
        <v>-398480.64000000001</v>
      </c>
      <c r="F41" s="147">
        <f t="shared" si="0"/>
        <v>-9159.0599999999977</v>
      </c>
      <c r="G41" s="148" t="s">
        <v>45</v>
      </c>
      <c r="H41" s="149" t="s">
        <v>160</v>
      </c>
    </row>
    <row r="42" spans="2:8" customFormat="1" hidden="1" x14ac:dyDescent="0.3">
      <c r="B42" s="144">
        <v>120100525</v>
      </c>
      <c r="C42" s="145" t="s">
        <v>193</v>
      </c>
      <c r="D42" s="146">
        <v>-42961.23</v>
      </c>
      <c r="E42" s="146">
        <v>-42961.23</v>
      </c>
      <c r="F42" s="147">
        <f t="shared" si="0"/>
        <v>0</v>
      </c>
      <c r="G42" s="148" t="s">
        <v>45</v>
      </c>
      <c r="H42" s="149" t="s">
        <v>160</v>
      </c>
    </row>
    <row r="43" spans="2:8" customFormat="1" hidden="1" x14ac:dyDescent="0.3">
      <c r="B43" s="144">
        <v>120101010</v>
      </c>
      <c r="C43" s="145" t="s">
        <v>194</v>
      </c>
      <c r="D43" s="146">
        <v>1274827.07</v>
      </c>
      <c r="E43" s="146">
        <v>1274827.07</v>
      </c>
      <c r="F43" s="147">
        <f t="shared" si="0"/>
        <v>0</v>
      </c>
      <c r="G43" s="148" t="s">
        <v>45</v>
      </c>
      <c r="H43" s="149" t="s">
        <v>160</v>
      </c>
    </row>
    <row r="44" spans="2:8" customFormat="1" hidden="1" x14ac:dyDescent="0.3">
      <c r="B44" s="144">
        <v>120101510</v>
      </c>
      <c r="C44" s="145" t="s">
        <v>195</v>
      </c>
      <c r="D44" s="146">
        <v>-1087592.6599999999</v>
      </c>
      <c r="E44" s="146">
        <v>-1003228.48</v>
      </c>
      <c r="F44" s="147">
        <f t="shared" si="0"/>
        <v>-84364.179999999935</v>
      </c>
      <c r="G44" s="148" t="s">
        <v>45</v>
      </c>
      <c r="H44" s="149" t="s">
        <v>160</v>
      </c>
    </row>
    <row r="45" spans="2:8" customFormat="1" hidden="1" x14ac:dyDescent="0.3">
      <c r="B45" s="149">
        <v>120100040</v>
      </c>
      <c r="C45" t="s">
        <v>196</v>
      </c>
      <c r="D45" s="146">
        <v>114392.46</v>
      </c>
      <c r="E45" s="146">
        <v>114392.46</v>
      </c>
      <c r="F45" s="147">
        <f t="shared" si="0"/>
        <v>0</v>
      </c>
      <c r="G45" s="155" t="s">
        <v>45</v>
      </c>
      <c r="H45" s="149" t="s">
        <v>160</v>
      </c>
    </row>
    <row r="46" spans="2:8" customFormat="1" hidden="1" x14ac:dyDescent="0.3">
      <c r="B46" s="150">
        <v>120100540</v>
      </c>
      <c r="C46" s="151" t="s">
        <v>197</v>
      </c>
      <c r="D46" s="146">
        <v>-17158.87</v>
      </c>
      <c r="E46" s="152">
        <v>-5719.62</v>
      </c>
      <c r="F46" s="147">
        <f t="shared" si="0"/>
        <v>-11439.25</v>
      </c>
      <c r="G46" s="148" t="s">
        <v>45</v>
      </c>
      <c r="H46" s="154" t="s">
        <v>160</v>
      </c>
    </row>
    <row r="47" spans="2:8" customFormat="1" hidden="1" x14ac:dyDescent="0.3">
      <c r="B47" s="149">
        <v>120100050</v>
      </c>
      <c r="C47" t="s">
        <v>198</v>
      </c>
      <c r="D47" s="146">
        <v>1185811</v>
      </c>
      <c r="E47" s="146">
        <v>0</v>
      </c>
      <c r="F47" s="147">
        <f t="shared" si="0"/>
        <v>1185811</v>
      </c>
      <c r="G47" s="148" t="s">
        <v>45</v>
      </c>
      <c r="H47" s="156" t="s">
        <v>160</v>
      </c>
    </row>
    <row r="48" spans="2:8" customFormat="1" hidden="1" x14ac:dyDescent="0.3">
      <c r="B48" s="149">
        <v>120100550</v>
      </c>
      <c r="C48" t="s">
        <v>199</v>
      </c>
      <c r="D48" s="146">
        <v>-59290.55</v>
      </c>
      <c r="E48" s="146">
        <v>0</v>
      </c>
      <c r="F48" s="147">
        <f t="shared" si="0"/>
        <v>-59290.55</v>
      </c>
      <c r="G48" s="148" t="s">
        <v>45</v>
      </c>
      <c r="H48" s="156" t="s">
        <v>160</v>
      </c>
    </row>
    <row r="49" spans="2:8" customFormat="1" hidden="1" x14ac:dyDescent="0.3">
      <c r="B49" s="144">
        <v>120200010</v>
      </c>
      <c r="C49" s="145" t="s">
        <v>200</v>
      </c>
      <c r="D49" s="146">
        <v>310050.73</v>
      </c>
      <c r="E49" s="146">
        <v>236550.73</v>
      </c>
      <c r="F49" s="147">
        <f t="shared" si="0"/>
        <v>73499.999999999971</v>
      </c>
      <c r="G49" s="148" t="s">
        <v>46</v>
      </c>
      <c r="H49" s="149" t="s">
        <v>160</v>
      </c>
    </row>
    <row r="50" spans="2:8" customFormat="1" hidden="1" x14ac:dyDescent="0.3">
      <c r="B50" s="144">
        <v>120200510</v>
      </c>
      <c r="C50" s="145" t="s">
        <v>201</v>
      </c>
      <c r="D50" s="146">
        <v>-209423.79</v>
      </c>
      <c r="E50" s="146">
        <v>-199342.96</v>
      </c>
      <c r="F50" s="147">
        <f t="shared" si="0"/>
        <v>-10080.830000000016</v>
      </c>
      <c r="G50" s="148" t="s">
        <v>46</v>
      </c>
      <c r="H50" s="149" t="s">
        <v>160</v>
      </c>
    </row>
    <row r="51" spans="2:8" customFormat="1" hidden="1" x14ac:dyDescent="0.3">
      <c r="B51" s="144">
        <v>120201010</v>
      </c>
      <c r="C51" s="145" t="s">
        <v>202</v>
      </c>
      <c r="D51" s="146">
        <v>14964.99</v>
      </c>
      <c r="E51" s="146">
        <v>12464.99</v>
      </c>
      <c r="F51" s="147">
        <f t="shared" si="0"/>
        <v>2500</v>
      </c>
      <c r="G51" s="148" t="s">
        <v>46</v>
      </c>
      <c r="H51" s="149" t="s">
        <v>160</v>
      </c>
    </row>
    <row r="52" spans="2:8" customFormat="1" hidden="1" x14ac:dyDescent="0.3">
      <c r="B52" s="144">
        <v>120201510</v>
      </c>
      <c r="C52" s="145" t="s">
        <v>203</v>
      </c>
      <c r="D52" s="146">
        <v>-12564.99</v>
      </c>
      <c r="E52" s="146">
        <v>-12464.99</v>
      </c>
      <c r="F52" s="147">
        <f t="shared" si="0"/>
        <v>-100</v>
      </c>
      <c r="G52" s="148" t="s">
        <v>46</v>
      </c>
      <c r="H52" s="149" t="s">
        <v>160</v>
      </c>
    </row>
    <row r="53" spans="2:8" customFormat="1" hidden="1" x14ac:dyDescent="0.3">
      <c r="B53" s="144">
        <v>120202010</v>
      </c>
      <c r="C53" s="145" t="s">
        <v>204</v>
      </c>
      <c r="D53" s="146">
        <v>333754.69</v>
      </c>
      <c r="E53" s="146">
        <v>332904.69</v>
      </c>
      <c r="F53" s="147">
        <f t="shared" si="0"/>
        <v>850</v>
      </c>
      <c r="G53" s="148" t="s">
        <v>47</v>
      </c>
      <c r="H53" s="149" t="s">
        <v>160</v>
      </c>
    </row>
    <row r="54" spans="2:8" customFormat="1" hidden="1" x14ac:dyDescent="0.3">
      <c r="B54" s="144">
        <v>120202510</v>
      </c>
      <c r="C54" s="145" t="s">
        <v>205</v>
      </c>
      <c r="D54" s="146">
        <v>-271102.90999999997</v>
      </c>
      <c r="E54" s="146">
        <v>-251719.94</v>
      </c>
      <c r="F54" s="147">
        <f t="shared" si="0"/>
        <v>-19382.969999999972</v>
      </c>
      <c r="G54" s="148" t="s">
        <v>47</v>
      </c>
      <c r="H54" s="149" t="s">
        <v>160</v>
      </c>
    </row>
    <row r="55" spans="2:8" customFormat="1" hidden="1" x14ac:dyDescent="0.3">
      <c r="B55" s="144">
        <v>120300010</v>
      </c>
      <c r="C55" s="145" t="s">
        <v>206</v>
      </c>
      <c r="D55" s="146">
        <v>238073</v>
      </c>
      <c r="E55" s="146">
        <v>236210.63</v>
      </c>
      <c r="F55" s="147">
        <f t="shared" si="0"/>
        <v>1862.3699999999953</v>
      </c>
      <c r="G55" s="148" t="s">
        <v>47</v>
      </c>
      <c r="H55" s="149" t="s">
        <v>160</v>
      </c>
    </row>
    <row r="56" spans="2:8" customFormat="1" hidden="1" x14ac:dyDescent="0.3">
      <c r="B56" s="144">
        <v>120300510</v>
      </c>
      <c r="C56" s="145" t="s">
        <v>207</v>
      </c>
      <c r="D56" s="146">
        <v>-234765.4</v>
      </c>
      <c r="E56" s="146">
        <v>-233838.82</v>
      </c>
      <c r="F56" s="147">
        <f t="shared" si="0"/>
        <v>-926.57999999998719</v>
      </c>
      <c r="G56" s="148" t="s">
        <v>47</v>
      </c>
      <c r="H56" s="149" t="s">
        <v>160</v>
      </c>
    </row>
    <row r="57" spans="2:8" customFormat="1" hidden="1" x14ac:dyDescent="0.3">
      <c r="B57" s="144">
        <v>120301010</v>
      </c>
      <c r="C57" s="145" t="s">
        <v>208</v>
      </c>
      <c r="D57" s="146">
        <v>98359.19</v>
      </c>
      <c r="E57" s="146">
        <v>98359.19</v>
      </c>
      <c r="F57" s="147">
        <f t="shared" si="0"/>
        <v>0</v>
      </c>
      <c r="G57" s="148" t="s">
        <v>47</v>
      </c>
      <c r="H57" s="149" t="s">
        <v>160</v>
      </c>
    </row>
    <row r="58" spans="2:8" customFormat="1" hidden="1" x14ac:dyDescent="0.3">
      <c r="B58" s="144">
        <v>120301510</v>
      </c>
      <c r="C58" s="145" t="s">
        <v>209</v>
      </c>
      <c r="D58" s="146">
        <v>-93816.05</v>
      </c>
      <c r="E58" s="146">
        <v>-92652.41</v>
      </c>
      <c r="F58" s="147">
        <f t="shared" si="0"/>
        <v>-1163.6399999999994</v>
      </c>
      <c r="G58" s="148" t="s">
        <v>47</v>
      </c>
      <c r="H58" s="149" t="s">
        <v>160</v>
      </c>
    </row>
    <row r="59" spans="2:8" customFormat="1" hidden="1" x14ac:dyDescent="0.3">
      <c r="B59" s="144">
        <v>120310010</v>
      </c>
      <c r="C59" s="145" t="s">
        <v>210</v>
      </c>
      <c r="D59" s="146">
        <v>76715.72</v>
      </c>
      <c r="E59" s="146">
        <v>76715.72</v>
      </c>
      <c r="F59" s="147">
        <f t="shared" si="0"/>
        <v>0</v>
      </c>
      <c r="G59" s="148" t="s">
        <v>47</v>
      </c>
      <c r="H59" s="149" t="s">
        <v>160</v>
      </c>
    </row>
    <row r="60" spans="2:8" customFormat="1" hidden="1" x14ac:dyDescent="0.3">
      <c r="B60" s="144">
        <v>120310510</v>
      </c>
      <c r="C60" s="145" t="s">
        <v>211</v>
      </c>
      <c r="D60" s="146">
        <v>-76715.72</v>
      </c>
      <c r="E60" s="146">
        <v>-76715.72</v>
      </c>
      <c r="F60" s="147">
        <f t="shared" si="0"/>
        <v>0</v>
      </c>
      <c r="G60" s="148" t="s">
        <v>47</v>
      </c>
      <c r="H60" s="149" t="s">
        <v>160</v>
      </c>
    </row>
    <row r="61" spans="2:8" customFormat="1" hidden="1" x14ac:dyDescent="0.3">
      <c r="B61" s="150">
        <v>150408051</v>
      </c>
      <c r="C61" s="151" t="s">
        <v>212</v>
      </c>
      <c r="D61" s="146">
        <v>0</v>
      </c>
      <c r="E61" s="152">
        <v>225000</v>
      </c>
      <c r="F61" s="147">
        <f t="shared" si="0"/>
        <v>-225000</v>
      </c>
      <c r="G61" s="148" t="s">
        <v>48</v>
      </c>
      <c r="H61" s="154" t="s">
        <v>160</v>
      </c>
    </row>
    <row r="62" spans="2:8" customFormat="1" hidden="1" x14ac:dyDescent="0.3">
      <c r="B62" s="150">
        <v>150408052</v>
      </c>
      <c r="C62" s="151" t="s">
        <v>213</v>
      </c>
      <c r="D62" s="146">
        <v>0</v>
      </c>
      <c r="E62" s="152">
        <v>15000</v>
      </c>
      <c r="F62" s="147">
        <f t="shared" si="0"/>
        <v>-15000</v>
      </c>
      <c r="G62" s="148" t="s">
        <v>48</v>
      </c>
      <c r="H62" s="154" t="s">
        <v>160</v>
      </c>
    </row>
    <row r="63" spans="2:8" customFormat="1" hidden="1" x14ac:dyDescent="0.3">
      <c r="B63" s="144">
        <v>1210000030</v>
      </c>
      <c r="C63" s="145" t="s">
        <v>214</v>
      </c>
      <c r="D63" s="146">
        <v>50620.88</v>
      </c>
      <c r="E63" s="146">
        <v>50620.88</v>
      </c>
      <c r="F63" s="147">
        <f t="shared" si="0"/>
        <v>0</v>
      </c>
      <c r="G63" s="148" t="s">
        <v>48</v>
      </c>
      <c r="H63" s="149" t="s">
        <v>160</v>
      </c>
    </row>
    <row r="64" spans="2:8" customFormat="1" hidden="1" x14ac:dyDescent="0.3">
      <c r="B64" s="144">
        <v>121000020</v>
      </c>
      <c r="C64" s="145" t="s">
        <v>215</v>
      </c>
      <c r="D64" s="146">
        <v>0</v>
      </c>
      <c r="E64" s="146">
        <v>7000</v>
      </c>
      <c r="F64" s="147">
        <f t="shared" si="0"/>
        <v>-7000</v>
      </c>
      <c r="G64" s="148" t="s">
        <v>48</v>
      </c>
      <c r="H64" s="149" t="s">
        <v>160</v>
      </c>
    </row>
    <row r="65" spans="1:8" customFormat="1" hidden="1" x14ac:dyDescent="0.3">
      <c r="B65" s="149">
        <v>121000050</v>
      </c>
      <c r="C65" t="s">
        <v>216</v>
      </c>
      <c r="D65" s="146">
        <v>3135.6</v>
      </c>
      <c r="E65" s="146">
        <v>0</v>
      </c>
      <c r="F65" s="147">
        <f t="shared" si="0"/>
        <v>3135.6</v>
      </c>
      <c r="G65" s="148" t="s">
        <v>48</v>
      </c>
      <c r="H65" s="156" t="s">
        <v>160</v>
      </c>
    </row>
    <row r="66" spans="1:8" customFormat="1" hidden="1" x14ac:dyDescent="0.3">
      <c r="B66" s="149">
        <v>121000060</v>
      </c>
      <c r="C66" t="s">
        <v>217</v>
      </c>
      <c r="D66" s="146">
        <v>233770</v>
      </c>
      <c r="E66" s="146">
        <v>0</v>
      </c>
      <c r="F66" s="147">
        <f t="shared" si="0"/>
        <v>233770</v>
      </c>
      <c r="G66" s="148" t="s">
        <v>48</v>
      </c>
      <c r="H66" s="156" t="s">
        <v>160</v>
      </c>
    </row>
    <row r="67" spans="1:8" customFormat="1" hidden="1" x14ac:dyDescent="0.3">
      <c r="B67" s="149">
        <v>150408053</v>
      </c>
      <c r="C67" t="s">
        <v>218</v>
      </c>
      <c r="D67" s="146">
        <v>53000</v>
      </c>
      <c r="E67" s="146">
        <v>0</v>
      </c>
      <c r="F67" s="147">
        <f t="shared" si="0"/>
        <v>53000</v>
      </c>
      <c r="G67" s="148" t="s">
        <v>48</v>
      </c>
      <c r="H67" s="156" t="s">
        <v>160</v>
      </c>
    </row>
    <row r="68" spans="1:8" customFormat="1" hidden="1" x14ac:dyDescent="0.3">
      <c r="B68" s="144">
        <v>130002150</v>
      </c>
      <c r="C68" s="145" t="s">
        <v>219</v>
      </c>
      <c r="D68" s="146">
        <v>1</v>
      </c>
      <c r="E68" s="146">
        <v>1</v>
      </c>
      <c r="F68" s="147">
        <f t="shared" si="0"/>
        <v>0</v>
      </c>
      <c r="G68" s="148" t="s">
        <v>50</v>
      </c>
      <c r="H68" s="149" t="s">
        <v>160</v>
      </c>
    </row>
    <row r="69" spans="1:8" customFormat="1" hidden="1" x14ac:dyDescent="0.3">
      <c r="B69" s="144">
        <v>130002010</v>
      </c>
      <c r="C69" s="145" t="s">
        <v>220</v>
      </c>
      <c r="D69" s="146">
        <v>645.57000000000005</v>
      </c>
      <c r="E69" s="146">
        <v>645.57000000000005</v>
      </c>
      <c r="F69" s="147">
        <f t="shared" si="0"/>
        <v>0</v>
      </c>
      <c r="G69" s="148" t="s">
        <v>51</v>
      </c>
      <c r="H69" s="149" t="s">
        <v>160</v>
      </c>
    </row>
    <row r="70" spans="1:8" customFormat="1" hidden="1" x14ac:dyDescent="0.3">
      <c r="B70" s="144">
        <v>130002020</v>
      </c>
      <c r="C70" s="145" t="s">
        <v>221</v>
      </c>
      <c r="D70" s="146">
        <v>77.47</v>
      </c>
      <c r="E70" s="146">
        <v>77.47</v>
      </c>
      <c r="F70" s="147">
        <f t="shared" si="0"/>
        <v>0</v>
      </c>
      <c r="G70" s="148" t="s">
        <v>51</v>
      </c>
      <c r="H70" s="149" t="s">
        <v>160</v>
      </c>
    </row>
    <row r="71" spans="1:8" customFormat="1" hidden="1" x14ac:dyDescent="0.3">
      <c r="B71" s="144">
        <v>130002120</v>
      </c>
      <c r="C71" s="145" t="s">
        <v>222</v>
      </c>
      <c r="D71" s="146">
        <v>2840.51</v>
      </c>
      <c r="E71" s="146">
        <v>2840.51</v>
      </c>
      <c r="F71" s="147">
        <f t="shared" si="0"/>
        <v>0</v>
      </c>
      <c r="G71" s="148" t="s">
        <v>51</v>
      </c>
      <c r="H71" s="149" t="s">
        <v>160</v>
      </c>
    </row>
    <row r="72" spans="1:8" customFormat="1" hidden="1" x14ac:dyDescent="0.3">
      <c r="A72" s="157"/>
      <c r="B72" s="144">
        <v>130002160</v>
      </c>
      <c r="C72" s="145" t="s">
        <v>223</v>
      </c>
      <c r="D72" s="146">
        <v>903</v>
      </c>
      <c r="E72" s="146">
        <v>903</v>
      </c>
      <c r="F72" s="147">
        <f t="shared" si="0"/>
        <v>0</v>
      </c>
      <c r="G72" s="148" t="s">
        <v>51</v>
      </c>
      <c r="H72" s="149" t="s">
        <v>160</v>
      </c>
    </row>
    <row r="73" spans="1:8" customFormat="1" hidden="1" x14ac:dyDescent="0.3">
      <c r="B73" s="144">
        <v>130300020</v>
      </c>
      <c r="C73" s="145" t="s">
        <v>224</v>
      </c>
      <c r="D73" s="146">
        <v>1898.99</v>
      </c>
      <c r="E73" s="146">
        <v>1898.99</v>
      </c>
      <c r="F73" s="147">
        <f t="shared" ref="F73:F136" si="1">D73-E73</f>
        <v>0</v>
      </c>
      <c r="G73" s="148" t="s">
        <v>51</v>
      </c>
      <c r="H73" s="149" t="s">
        <v>160</v>
      </c>
    </row>
    <row r="74" spans="1:8" customFormat="1" hidden="1" x14ac:dyDescent="0.3">
      <c r="B74" s="144">
        <v>130300030</v>
      </c>
      <c r="C74" s="145" t="s">
        <v>225</v>
      </c>
      <c r="D74" s="146">
        <v>2179.33</v>
      </c>
      <c r="E74" s="146">
        <v>2179.33</v>
      </c>
      <c r="F74" s="147">
        <f t="shared" si="1"/>
        <v>0</v>
      </c>
      <c r="G74" s="148" t="s">
        <v>51</v>
      </c>
      <c r="H74" s="149" t="s">
        <v>160</v>
      </c>
    </row>
    <row r="75" spans="1:8" customFormat="1" hidden="1" x14ac:dyDescent="0.3">
      <c r="B75" s="149">
        <v>140104010</v>
      </c>
      <c r="C75" t="s">
        <v>226</v>
      </c>
      <c r="D75" s="146">
        <v>31980</v>
      </c>
      <c r="E75" s="146">
        <v>19992</v>
      </c>
      <c r="F75" s="147">
        <f t="shared" si="1"/>
        <v>11988</v>
      </c>
      <c r="G75" s="155" t="s">
        <v>51</v>
      </c>
      <c r="H75" s="149" t="s">
        <v>160</v>
      </c>
    </row>
    <row r="76" spans="1:8" customFormat="1" hidden="1" x14ac:dyDescent="0.3">
      <c r="B76" s="149">
        <v>140104020</v>
      </c>
      <c r="C76" t="s">
        <v>227</v>
      </c>
      <c r="D76" s="146">
        <v>398991.25</v>
      </c>
      <c r="E76" s="146">
        <v>170982</v>
      </c>
      <c r="F76" s="147">
        <f t="shared" si="1"/>
        <v>228009.25</v>
      </c>
      <c r="G76" s="155" t="s">
        <v>51</v>
      </c>
      <c r="H76" s="149" t="s">
        <v>160</v>
      </c>
    </row>
    <row r="77" spans="1:8" customFormat="1" hidden="1" x14ac:dyDescent="0.3">
      <c r="B77" s="144">
        <v>130101210</v>
      </c>
      <c r="C77" s="145" t="s">
        <v>228</v>
      </c>
      <c r="D77" s="146">
        <v>4000</v>
      </c>
      <c r="E77" s="146">
        <v>4000</v>
      </c>
      <c r="F77" s="147">
        <f t="shared" si="1"/>
        <v>0</v>
      </c>
      <c r="G77" s="148" t="s">
        <v>52</v>
      </c>
      <c r="H77" s="149" t="s">
        <v>160</v>
      </c>
    </row>
    <row r="78" spans="1:8" customFormat="1" hidden="1" x14ac:dyDescent="0.3">
      <c r="B78" s="144">
        <v>160201010</v>
      </c>
      <c r="C78" s="145" t="s">
        <v>229</v>
      </c>
      <c r="D78" s="146">
        <v>11623.7</v>
      </c>
      <c r="E78" s="146">
        <v>11623.7</v>
      </c>
      <c r="F78" s="147">
        <f t="shared" si="1"/>
        <v>0</v>
      </c>
      <c r="G78" s="148" t="s">
        <v>53</v>
      </c>
      <c r="H78" s="149" t="s">
        <v>160</v>
      </c>
    </row>
    <row r="79" spans="1:8" customFormat="1" hidden="1" x14ac:dyDescent="0.3">
      <c r="B79" s="150">
        <v>130002190</v>
      </c>
      <c r="C79" s="151" t="s">
        <v>230</v>
      </c>
      <c r="D79" s="146">
        <v>247658.04</v>
      </c>
      <c r="E79" s="152">
        <v>406913.62</v>
      </c>
      <c r="F79" s="147">
        <f t="shared" si="1"/>
        <v>-159255.57999999999</v>
      </c>
      <c r="G79" s="153" t="s">
        <v>54</v>
      </c>
      <c r="H79" s="154" t="s">
        <v>160</v>
      </c>
    </row>
    <row r="80" spans="1:8" customFormat="1" hidden="1" x14ac:dyDescent="0.3">
      <c r="B80" s="144">
        <v>140000010</v>
      </c>
      <c r="C80" s="145" t="s">
        <v>231</v>
      </c>
      <c r="D80" s="146">
        <v>439437.13</v>
      </c>
      <c r="E80" s="146">
        <v>2249973.56</v>
      </c>
      <c r="F80" s="147">
        <f t="shared" si="1"/>
        <v>-1810536.4300000002</v>
      </c>
      <c r="G80" s="148" t="s">
        <v>56</v>
      </c>
      <c r="H80" s="149" t="s">
        <v>160</v>
      </c>
    </row>
    <row r="81" spans="2:8" customFormat="1" hidden="1" x14ac:dyDescent="0.3">
      <c r="B81" s="144">
        <v>140000020</v>
      </c>
      <c r="C81" s="145" t="s">
        <v>232</v>
      </c>
      <c r="D81" s="146">
        <v>70836.09</v>
      </c>
      <c r="E81" s="146">
        <v>37527.339999999997</v>
      </c>
      <c r="F81" s="147">
        <f t="shared" si="1"/>
        <v>33308.75</v>
      </c>
      <c r="G81" s="148" t="s">
        <v>56</v>
      </c>
      <c r="H81" s="149" t="s">
        <v>160</v>
      </c>
    </row>
    <row r="82" spans="2:8" customFormat="1" hidden="1" x14ac:dyDescent="0.3">
      <c r="B82" s="144">
        <v>140000100</v>
      </c>
      <c r="C82" s="145" t="s">
        <v>233</v>
      </c>
      <c r="D82" s="146">
        <v>207650.98</v>
      </c>
      <c r="E82" s="146">
        <v>131854.76999999999</v>
      </c>
      <c r="F82" s="147">
        <f t="shared" si="1"/>
        <v>75796.210000000021</v>
      </c>
      <c r="G82" s="148" t="s">
        <v>56</v>
      </c>
      <c r="H82" s="149" t="s">
        <v>160</v>
      </c>
    </row>
    <row r="83" spans="2:8" customFormat="1" hidden="1" x14ac:dyDescent="0.3">
      <c r="B83" s="144">
        <v>140000030</v>
      </c>
      <c r="C83" s="145" t="s">
        <v>234</v>
      </c>
      <c r="D83" s="146">
        <v>52130.83</v>
      </c>
      <c r="E83" s="146">
        <v>29139.25</v>
      </c>
      <c r="F83" s="147">
        <f t="shared" si="1"/>
        <v>22991.58</v>
      </c>
      <c r="G83" s="148" t="s">
        <v>59</v>
      </c>
      <c r="H83" s="149" t="s">
        <v>160</v>
      </c>
    </row>
    <row r="84" spans="2:8" customFormat="1" hidden="1" x14ac:dyDescent="0.3">
      <c r="B84" s="144">
        <v>140100010</v>
      </c>
      <c r="C84" s="145" t="s">
        <v>235</v>
      </c>
      <c r="D84" s="146">
        <v>710905.55</v>
      </c>
      <c r="E84" s="146">
        <v>522265.08</v>
      </c>
      <c r="F84" s="147">
        <f t="shared" si="1"/>
        <v>188640.47000000003</v>
      </c>
      <c r="G84" s="148" t="s">
        <v>59</v>
      </c>
      <c r="H84" s="149" t="s">
        <v>160</v>
      </c>
    </row>
    <row r="85" spans="2:8" customFormat="1" hidden="1" x14ac:dyDescent="0.3">
      <c r="B85" s="144">
        <v>140100020</v>
      </c>
      <c r="C85" s="145" t="s">
        <v>236</v>
      </c>
      <c r="D85" s="146">
        <v>36972.629999999997</v>
      </c>
      <c r="E85" s="146">
        <v>33604.68</v>
      </c>
      <c r="F85" s="147">
        <f t="shared" si="1"/>
        <v>3367.9499999999971</v>
      </c>
      <c r="G85" s="148" t="s">
        <v>59</v>
      </c>
      <c r="H85" s="149" t="s">
        <v>160</v>
      </c>
    </row>
    <row r="86" spans="2:8" customFormat="1" hidden="1" x14ac:dyDescent="0.3">
      <c r="B86" s="144">
        <v>140100030</v>
      </c>
      <c r="C86" s="145" t="s">
        <v>237</v>
      </c>
      <c r="D86" s="146">
        <v>81806</v>
      </c>
      <c r="E86" s="146">
        <v>59646.93</v>
      </c>
      <c r="F86" s="147">
        <f t="shared" si="1"/>
        <v>22159.07</v>
      </c>
      <c r="G86" s="148" t="s">
        <v>59</v>
      </c>
      <c r="H86" s="149" t="s">
        <v>160</v>
      </c>
    </row>
    <row r="87" spans="2:8" customFormat="1" hidden="1" x14ac:dyDescent="0.3">
      <c r="B87" s="144">
        <v>140301040</v>
      </c>
      <c r="C87" s="145" t="s">
        <v>238</v>
      </c>
      <c r="D87" s="146">
        <v>164589.63</v>
      </c>
      <c r="E87" s="146">
        <v>143139.20000000001</v>
      </c>
      <c r="F87" s="147">
        <f t="shared" si="1"/>
        <v>21450.429999999993</v>
      </c>
      <c r="G87" s="148" t="s">
        <v>60</v>
      </c>
      <c r="H87" s="149" t="s">
        <v>160</v>
      </c>
    </row>
    <row r="88" spans="2:8" customFormat="1" hidden="1" x14ac:dyDescent="0.3">
      <c r="B88" s="144">
        <v>150051010</v>
      </c>
      <c r="C88" s="145" t="s">
        <v>239</v>
      </c>
      <c r="D88" s="158">
        <v>1818385.64</v>
      </c>
      <c r="E88" s="158">
        <v>1732761.52</v>
      </c>
      <c r="F88" s="159">
        <f t="shared" si="1"/>
        <v>85624.119999999879</v>
      </c>
      <c r="G88" s="148" t="s">
        <v>62</v>
      </c>
      <c r="H88" s="149" t="s">
        <v>160</v>
      </c>
    </row>
    <row r="89" spans="2:8" customFormat="1" hidden="1" x14ac:dyDescent="0.3">
      <c r="B89" s="144">
        <v>150052010</v>
      </c>
      <c r="C89" s="145" t="s">
        <v>240</v>
      </c>
      <c r="D89" s="146">
        <v>1128941.3</v>
      </c>
      <c r="E89" s="146">
        <v>1065904.1200000001</v>
      </c>
      <c r="F89" s="147">
        <f t="shared" si="1"/>
        <v>63037.179999999935</v>
      </c>
      <c r="G89" s="148" t="s">
        <v>62</v>
      </c>
      <c r="H89" s="149" t="s">
        <v>160</v>
      </c>
    </row>
    <row r="90" spans="2:8" customFormat="1" hidden="1" x14ac:dyDescent="0.3">
      <c r="B90" s="144">
        <v>150053010</v>
      </c>
      <c r="C90" s="145" t="s">
        <v>241</v>
      </c>
      <c r="D90" s="146">
        <v>6666672.2000000002</v>
      </c>
      <c r="E90" s="146">
        <v>12069784.32</v>
      </c>
      <c r="F90" s="147">
        <f t="shared" si="1"/>
        <v>-5403112.1200000001</v>
      </c>
      <c r="G90" s="148" t="s">
        <v>62</v>
      </c>
      <c r="H90" s="149" t="s">
        <v>160</v>
      </c>
    </row>
    <row r="91" spans="2:8" customFormat="1" hidden="1" x14ac:dyDescent="0.3">
      <c r="B91" s="144">
        <v>150054010</v>
      </c>
      <c r="C91" s="145" t="s">
        <v>242</v>
      </c>
      <c r="D91" s="146">
        <v>340435.97</v>
      </c>
      <c r="E91" s="146">
        <v>380975.7</v>
      </c>
      <c r="F91" s="147">
        <f t="shared" si="1"/>
        <v>-40539.73000000004</v>
      </c>
      <c r="G91" s="148" t="s">
        <v>62</v>
      </c>
      <c r="H91" s="149" t="s">
        <v>160</v>
      </c>
    </row>
    <row r="92" spans="2:8" customFormat="1" hidden="1" x14ac:dyDescent="0.3">
      <c r="B92" s="144">
        <v>150055010</v>
      </c>
      <c r="C92" s="145" t="s">
        <v>243</v>
      </c>
      <c r="D92" s="146">
        <v>2678342.44</v>
      </c>
      <c r="E92" s="146">
        <v>2235626.2000000002</v>
      </c>
      <c r="F92" s="147">
        <f t="shared" si="1"/>
        <v>442716.23999999976</v>
      </c>
      <c r="G92" s="148" t="s">
        <v>62</v>
      </c>
      <c r="H92" s="149" t="s">
        <v>160</v>
      </c>
    </row>
    <row r="93" spans="2:8" customFormat="1" hidden="1" x14ac:dyDescent="0.3">
      <c r="B93" s="144">
        <v>150056010</v>
      </c>
      <c r="C93" s="145" t="s">
        <v>244</v>
      </c>
      <c r="D93" s="146">
        <v>590208.06999999995</v>
      </c>
      <c r="E93" s="146">
        <v>1505536.12</v>
      </c>
      <c r="F93" s="147">
        <f t="shared" si="1"/>
        <v>-915328.05000000016</v>
      </c>
      <c r="G93" s="148" t="s">
        <v>62</v>
      </c>
      <c r="H93" s="149" t="s">
        <v>160</v>
      </c>
    </row>
    <row r="94" spans="2:8" customFormat="1" hidden="1" x14ac:dyDescent="0.3">
      <c r="B94" s="144">
        <v>150057010</v>
      </c>
      <c r="C94" s="145" t="s">
        <v>245</v>
      </c>
      <c r="D94" s="146">
        <v>40687.29</v>
      </c>
      <c r="E94" s="146">
        <v>24228.959999999999</v>
      </c>
      <c r="F94" s="147">
        <f t="shared" si="1"/>
        <v>16458.330000000002</v>
      </c>
      <c r="G94" s="148" t="s">
        <v>62</v>
      </c>
      <c r="H94" s="149" t="s">
        <v>160</v>
      </c>
    </row>
    <row r="95" spans="2:8" customFormat="1" hidden="1" x14ac:dyDescent="0.3">
      <c r="B95" s="144">
        <v>150058010</v>
      </c>
      <c r="C95" s="145" t="s">
        <v>246</v>
      </c>
      <c r="D95" s="146">
        <v>17839.009999999998</v>
      </c>
      <c r="E95" s="146">
        <v>32503.4</v>
      </c>
      <c r="F95" s="147">
        <f t="shared" si="1"/>
        <v>-14664.390000000003</v>
      </c>
      <c r="G95" s="148" t="s">
        <v>62</v>
      </c>
      <c r="H95" s="149" t="s">
        <v>160</v>
      </c>
    </row>
    <row r="96" spans="2:8" customFormat="1" hidden="1" x14ac:dyDescent="0.3">
      <c r="B96" s="144">
        <v>150090020</v>
      </c>
      <c r="C96" s="145" t="s">
        <v>247</v>
      </c>
      <c r="D96" s="146">
        <v>-1017088.95</v>
      </c>
      <c r="E96" s="146">
        <v>-1000006.71</v>
      </c>
      <c r="F96" s="147">
        <f t="shared" si="1"/>
        <v>-17082.239999999991</v>
      </c>
      <c r="G96" s="148" t="s">
        <v>62</v>
      </c>
      <c r="H96" s="149" t="s">
        <v>160</v>
      </c>
    </row>
    <row r="97" spans="2:8" customFormat="1" hidden="1" x14ac:dyDescent="0.3">
      <c r="B97" s="144">
        <v>150408060</v>
      </c>
      <c r="C97" s="145" t="s">
        <v>248</v>
      </c>
      <c r="D97" s="146">
        <v>14359.98</v>
      </c>
      <c r="E97" s="146">
        <v>6666.67</v>
      </c>
      <c r="F97" s="147">
        <f t="shared" si="1"/>
        <v>7693.3099999999995</v>
      </c>
      <c r="G97" s="148" t="s">
        <v>62</v>
      </c>
      <c r="H97" s="149" t="s">
        <v>160</v>
      </c>
    </row>
    <row r="98" spans="2:8" customFormat="1" hidden="1" x14ac:dyDescent="0.3">
      <c r="B98" s="144">
        <v>220904010</v>
      </c>
      <c r="C98" s="145" t="s">
        <v>249</v>
      </c>
      <c r="D98" s="146">
        <v>-24772.69</v>
      </c>
      <c r="E98" s="146">
        <v>-1142</v>
      </c>
      <c r="F98" s="147">
        <f t="shared" si="1"/>
        <v>-23630.69</v>
      </c>
      <c r="G98" s="148" t="s">
        <v>62</v>
      </c>
      <c r="H98" s="149" t="s">
        <v>250</v>
      </c>
    </row>
    <row r="99" spans="2:8" customFormat="1" hidden="1" x14ac:dyDescent="0.3">
      <c r="B99" s="150">
        <v>150002110</v>
      </c>
      <c r="C99" s="151" t="s">
        <v>251</v>
      </c>
      <c r="D99" s="146">
        <v>334980.87</v>
      </c>
      <c r="E99" s="152">
        <v>798989.76</v>
      </c>
      <c r="F99" s="147">
        <f t="shared" si="1"/>
        <v>-464008.89</v>
      </c>
      <c r="G99" s="153" t="s">
        <v>62</v>
      </c>
      <c r="H99" s="154" t="s">
        <v>160</v>
      </c>
    </row>
    <row r="100" spans="2:8" customFormat="1" hidden="1" x14ac:dyDescent="0.3">
      <c r="B100" s="150">
        <v>150002140</v>
      </c>
      <c r="C100" s="151" t="s">
        <v>252</v>
      </c>
      <c r="D100" s="146">
        <v>1526075.18</v>
      </c>
      <c r="E100" s="152">
        <v>1394311.57</v>
      </c>
      <c r="F100" s="147">
        <f t="shared" si="1"/>
        <v>131763.60999999987</v>
      </c>
      <c r="G100" s="153" t="s">
        <v>62</v>
      </c>
      <c r="H100" s="154" t="s">
        <v>160</v>
      </c>
    </row>
    <row r="101" spans="2:8" customFormat="1" hidden="1" x14ac:dyDescent="0.3">
      <c r="B101" s="150">
        <v>150002141</v>
      </c>
      <c r="C101" s="151" t="s">
        <v>253</v>
      </c>
      <c r="D101" s="146">
        <v>0</v>
      </c>
      <c r="E101" s="152">
        <v>93157.83</v>
      </c>
      <c r="F101" s="147">
        <f t="shared" si="1"/>
        <v>-93157.83</v>
      </c>
      <c r="G101" s="153" t="s">
        <v>62</v>
      </c>
      <c r="H101" s="154" t="s">
        <v>160</v>
      </c>
    </row>
    <row r="102" spans="2:8" customFormat="1" hidden="1" x14ac:dyDescent="0.3">
      <c r="B102" s="150">
        <v>150002160</v>
      </c>
      <c r="C102" s="151" t="s">
        <v>254</v>
      </c>
      <c r="D102" s="146">
        <v>0</v>
      </c>
      <c r="E102" s="152">
        <v>1066275.74</v>
      </c>
      <c r="F102" s="147">
        <f t="shared" si="1"/>
        <v>-1066275.74</v>
      </c>
      <c r="G102" s="153" t="s">
        <v>62</v>
      </c>
      <c r="H102" s="154" t="s">
        <v>160</v>
      </c>
    </row>
    <row r="103" spans="2:8" customFormat="1" hidden="1" x14ac:dyDescent="0.3">
      <c r="B103" s="150">
        <v>150002180</v>
      </c>
      <c r="C103" s="151" t="s">
        <v>255</v>
      </c>
      <c r="D103" s="146">
        <v>815641.63</v>
      </c>
      <c r="E103" s="152">
        <v>996817.19</v>
      </c>
      <c r="F103" s="147">
        <f t="shared" si="1"/>
        <v>-181175.55999999994</v>
      </c>
      <c r="G103" s="153" t="s">
        <v>62</v>
      </c>
      <c r="H103" s="154" t="s">
        <v>160</v>
      </c>
    </row>
    <row r="104" spans="2:8" customFormat="1" hidden="1" x14ac:dyDescent="0.3">
      <c r="B104" s="150">
        <v>150002200</v>
      </c>
      <c r="C104" s="151" t="s">
        <v>256</v>
      </c>
      <c r="D104" s="146">
        <v>378523.16</v>
      </c>
      <c r="E104" s="152">
        <v>371700.37</v>
      </c>
      <c r="F104" s="147">
        <f t="shared" si="1"/>
        <v>6822.789999999979</v>
      </c>
      <c r="G104" s="153" t="s">
        <v>62</v>
      </c>
      <c r="H104" s="154" t="s">
        <v>160</v>
      </c>
    </row>
    <row r="105" spans="2:8" customFormat="1" hidden="1" x14ac:dyDescent="0.3">
      <c r="B105" s="150">
        <v>150002201</v>
      </c>
      <c r="C105" s="151" t="s">
        <v>257</v>
      </c>
      <c r="D105" s="146">
        <v>0</v>
      </c>
      <c r="E105" s="152">
        <v>91308.04</v>
      </c>
      <c r="F105" s="147">
        <f t="shared" si="1"/>
        <v>-91308.04</v>
      </c>
      <c r="G105" s="153" t="s">
        <v>62</v>
      </c>
      <c r="H105" s="154" t="s">
        <v>160</v>
      </c>
    </row>
    <row r="106" spans="2:8" customFormat="1" hidden="1" x14ac:dyDescent="0.3">
      <c r="B106" s="144">
        <v>220104530</v>
      </c>
      <c r="C106" s="145" t="s">
        <v>258</v>
      </c>
      <c r="D106" s="146">
        <v>4632.8</v>
      </c>
      <c r="E106" s="146">
        <v>6000</v>
      </c>
      <c r="F106" s="147">
        <f t="shared" si="1"/>
        <v>-1367.1999999999998</v>
      </c>
      <c r="G106" s="148" t="s">
        <v>62</v>
      </c>
      <c r="H106" s="149" t="s">
        <v>160</v>
      </c>
    </row>
    <row r="107" spans="2:8" customFormat="1" hidden="1" x14ac:dyDescent="0.3">
      <c r="B107" s="149">
        <v>150002120</v>
      </c>
      <c r="C107" t="s">
        <v>259</v>
      </c>
      <c r="D107" s="146">
        <v>506643.65</v>
      </c>
      <c r="E107" s="146">
        <v>0</v>
      </c>
      <c r="F107" s="147">
        <f t="shared" si="1"/>
        <v>506643.65</v>
      </c>
      <c r="G107" s="148" t="s">
        <v>62</v>
      </c>
      <c r="H107" s="156" t="s">
        <v>160</v>
      </c>
    </row>
    <row r="108" spans="2:8" customFormat="1" hidden="1" x14ac:dyDescent="0.3">
      <c r="B108" s="149">
        <v>220101210</v>
      </c>
      <c r="C108" t="s">
        <v>260</v>
      </c>
      <c r="D108" s="146">
        <v>1695890.11</v>
      </c>
      <c r="E108" s="146">
        <v>0</v>
      </c>
      <c r="F108" s="147">
        <f t="shared" si="1"/>
        <v>1695890.11</v>
      </c>
      <c r="G108" s="148" t="s">
        <v>62</v>
      </c>
      <c r="H108" s="156" t="s">
        <v>250</v>
      </c>
    </row>
    <row r="109" spans="2:8" customFormat="1" hidden="1" x14ac:dyDescent="0.3">
      <c r="B109" s="144">
        <v>130101200</v>
      </c>
      <c r="C109" s="145" t="s">
        <v>261</v>
      </c>
      <c r="D109" s="146">
        <v>146014.04</v>
      </c>
      <c r="E109" s="146">
        <v>146014.04</v>
      </c>
      <c r="F109" s="147">
        <f t="shared" si="1"/>
        <v>0</v>
      </c>
      <c r="G109" s="148" t="s">
        <v>63</v>
      </c>
      <c r="H109" s="149" t="s">
        <v>160</v>
      </c>
    </row>
    <row r="110" spans="2:8" customFormat="1" hidden="1" x14ac:dyDescent="0.3">
      <c r="B110" s="144">
        <v>150400030</v>
      </c>
      <c r="C110" s="145" t="s">
        <v>262</v>
      </c>
      <c r="D110" s="146">
        <v>422952.06</v>
      </c>
      <c r="E110" s="146">
        <v>0</v>
      </c>
      <c r="F110" s="147">
        <f t="shared" si="1"/>
        <v>422952.06</v>
      </c>
      <c r="G110" s="148" t="s">
        <v>64</v>
      </c>
      <c r="H110" s="149" t="s">
        <v>160</v>
      </c>
    </row>
    <row r="111" spans="2:8" customFormat="1" hidden="1" x14ac:dyDescent="0.3">
      <c r="B111" s="144">
        <v>150400042</v>
      </c>
      <c r="C111" s="145" t="s">
        <v>263</v>
      </c>
      <c r="D111" s="146">
        <v>400000</v>
      </c>
      <c r="E111" s="146">
        <v>400000</v>
      </c>
      <c r="F111" s="147">
        <f t="shared" si="1"/>
        <v>0</v>
      </c>
      <c r="G111" s="160" t="s">
        <v>64</v>
      </c>
      <c r="H111" s="149" t="s">
        <v>160</v>
      </c>
    </row>
    <row r="112" spans="2:8" customFormat="1" hidden="1" x14ac:dyDescent="0.3">
      <c r="B112" s="144">
        <v>150400047</v>
      </c>
      <c r="C112" s="145" t="s">
        <v>264</v>
      </c>
      <c r="D112" s="146">
        <v>316822.40000000002</v>
      </c>
      <c r="E112" s="146">
        <v>288497.14</v>
      </c>
      <c r="F112" s="147">
        <f t="shared" si="1"/>
        <v>28325.260000000009</v>
      </c>
      <c r="G112" s="148" t="s">
        <v>64</v>
      </c>
      <c r="H112" s="149" t="s">
        <v>160</v>
      </c>
    </row>
    <row r="113" spans="2:8" customFormat="1" hidden="1" x14ac:dyDescent="0.3">
      <c r="B113" s="144">
        <v>150400070</v>
      </c>
      <c r="C113" s="145" t="s">
        <v>265</v>
      </c>
      <c r="D113" s="146">
        <v>2495.21</v>
      </c>
      <c r="E113" s="146">
        <v>0</v>
      </c>
      <c r="F113" s="147">
        <f t="shared" si="1"/>
        <v>2495.21</v>
      </c>
      <c r="G113" s="148" t="s">
        <v>64</v>
      </c>
      <c r="H113" s="149" t="s">
        <v>160</v>
      </c>
    </row>
    <row r="114" spans="2:8" customFormat="1" hidden="1" x14ac:dyDescent="0.3">
      <c r="B114" s="144">
        <v>150400080</v>
      </c>
      <c r="C114" s="145" t="s">
        <v>266</v>
      </c>
      <c r="D114" s="146">
        <v>5205.8599999999997</v>
      </c>
      <c r="E114" s="146">
        <v>1407.65</v>
      </c>
      <c r="F114" s="147">
        <f t="shared" si="1"/>
        <v>3798.2099999999996</v>
      </c>
      <c r="G114" s="148" t="s">
        <v>64</v>
      </c>
      <c r="H114" s="149" t="s">
        <v>160</v>
      </c>
    </row>
    <row r="115" spans="2:8" customFormat="1" hidden="1" x14ac:dyDescent="0.3">
      <c r="B115" s="144">
        <v>150400100</v>
      </c>
      <c r="C115" s="145" t="s">
        <v>267</v>
      </c>
      <c r="D115" s="146">
        <v>0</v>
      </c>
      <c r="E115" s="146">
        <v>71</v>
      </c>
      <c r="F115" s="147">
        <f t="shared" si="1"/>
        <v>-71</v>
      </c>
      <c r="G115" s="148" t="s">
        <v>64</v>
      </c>
      <c r="H115" s="149" t="s">
        <v>160</v>
      </c>
    </row>
    <row r="116" spans="2:8" customFormat="1" hidden="1" x14ac:dyDescent="0.3">
      <c r="B116" s="144">
        <v>150400120</v>
      </c>
      <c r="C116" s="145" t="s">
        <v>268</v>
      </c>
      <c r="D116" s="146">
        <v>219.69</v>
      </c>
      <c r="E116" s="146">
        <v>0</v>
      </c>
      <c r="F116" s="147">
        <f t="shared" si="1"/>
        <v>219.69</v>
      </c>
      <c r="G116" s="148" t="s">
        <v>64</v>
      </c>
      <c r="H116" s="149" t="s">
        <v>160</v>
      </c>
    </row>
    <row r="117" spans="2:8" customFormat="1" hidden="1" x14ac:dyDescent="0.3">
      <c r="B117" s="144">
        <v>150400240</v>
      </c>
      <c r="C117" s="145" t="s">
        <v>269</v>
      </c>
      <c r="D117" s="146">
        <v>0</v>
      </c>
      <c r="E117" s="146">
        <v>3473</v>
      </c>
      <c r="F117" s="147">
        <f t="shared" si="1"/>
        <v>-3473</v>
      </c>
      <c r="G117" s="148" t="s">
        <v>64</v>
      </c>
      <c r="H117" s="149" t="s">
        <v>160</v>
      </c>
    </row>
    <row r="118" spans="2:8" customFormat="1" hidden="1" x14ac:dyDescent="0.3">
      <c r="B118" s="144">
        <v>150400250</v>
      </c>
      <c r="C118" s="145" t="s">
        <v>270</v>
      </c>
      <c r="D118" s="146">
        <v>11021</v>
      </c>
      <c r="E118" s="146">
        <v>0</v>
      </c>
      <c r="F118" s="147">
        <f t="shared" si="1"/>
        <v>11021</v>
      </c>
      <c r="G118" s="148" t="s">
        <v>64</v>
      </c>
      <c r="H118" s="149" t="s">
        <v>160</v>
      </c>
    </row>
    <row r="119" spans="2:8" customFormat="1" hidden="1" x14ac:dyDescent="0.3">
      <c r="B119" s="149">
        <v>150400320</v>
      </c>
      <c r="C119" t="s">
        <v>271</v>
      </c>
      <c r="D119" s="146">
        <v>0</v>
      </c>
      <c r="E119" s="146">
        <v>633</v>
      </c>
      <c r="F119" s="147">
        <f t="shared" si="1"/>
        <v>-633</v>
      </c>
      <c r="G119" s="148" t="s">
        <v>64</v>
      </c>
      <c r="H119" s="149" t="s">
        <v>160</v>
      </c>
    </row>
    <row r="120" spans="2:8" customFormat="1" hidden="1" x14ac:dyDescent="0.3">
      <c r="B120" s="149">
        <v>150400330</v>
      </c>
      <c r="C120" t="s">
        <v>272</v>
      </c>
      <c r="D120" s="146">
        <v>7209.59</v>
      </c>
      <c r="E120" s="146">
        <v>83547.95</v>
      </c>
      <c r="F120" s="147">
        <f t="shared" si="1"/>
        <v>-76338.36</v>
      </c>
      <c r="G120" s="148" t="s">
        <v>64</v>
      </c>
      <c r="H120" s="149" t="s">
        <v>160</v>
      </c>
    </row>
    <row r="121" spans="2:8" customFormat="1" hidden="1" x14ac:dyDescent="0.3">
      <c r="B121" s="149">
        <v>150400031</v>
      </c>
      <c r="C121" t="s">
        <v>273</v>
      </c>
      <c r="D121" s="146">
        <v>770</v>
      </c>
      <c r="E121" s="146">
        <v>770</v>
      </c>
      <c r="F121" s="147">
        <f t="shared" si="1"/>
        <v>0</v>
      </c>
      <c r="G121" s="148" t="s">
        <v>64</v>
      </c>
      <c r="H121" s="156" t="s">
        <v>160</v>
      </c>
    </row>
    <row r="122" spans="2:8" customFormat="1" hidden="1" x14ac:dyDescent="0.3">
      <c r="B122" s="149">
        <v>150400350</v>
      </c>
      <c r="C122" t="s">
        <v>274</v>
      </c>
      <c r="D122" s="146">
        <v>0</v>
      </c>
      <c r="E122" s="146">
        <v>245480</v>
      </c>
      <c r="F122" s="147">
        <f t="shared" si="1"/>
        <v>-245480</v>
      </c>
      <c r="G122" s="155" t="s">
        <v>64</v>
      </c>
      <c r="H122" s="149" t="s">
        <v>160</v>
      </c>
    </row>
    <row r="123" spans="2:8" customFormat="1" hidden="1" x14ac:dyDescent="0.3">
      <c r="B123" s="150">
        <v>150400360</v>
      </c>
      <c r="C123" s="151" t="s">
        <v>275</v>
      </c>
      <c r="D123" s="146">
        <v>0</v>
      </c>
      <c r="E123" s="152">
        <v>2088</v>
      </c>
      <c r="F123" s="147">
        <f t="shared" si="1"/>
        <v>-2088</v>
      </c>
      <c r="G123" s="153" t="s">
        <v>64</v>
      </c>
      <c r="H123" s="154" t="s">
        <v>160</v>
      </c>
    </row>
    <row r="124" spans="2:8" customFormat="1" hidden="1" x14ac:dyDescent="0.3">
      <c r="B124" s="149">
        <v>150400331</v>
      </c>
      <c r="C124" t="s">
        <v>276</v>
      </c>
      <c r="D124" s="146">
        <v>179166.68</v>
      </c>
      <c r="E124" s="146">
        <v>0</v>
      </c>
      <c r="F124" s="147">
        <f t="shared" si="1"/>
        <v>179166.68</v>
      </c>
      <c r="G124" s="148" t="s">
        <v>64</v>
      </c>
      <c r="H124" s="156" t="s">
        <v>160</v>
      </c>
    </row>
    <row r="125" spans="2:8" customFormat="1" hidden="1" x14ac:dyDescent="0.3">
      <c r="B125" s="149">
        <v>150400332</v>
      </c>
      <c r="C125" t="s">
        <v>277</v>
      </c>
      <c r="D125" s="146">
        <v>7209.59</v>
      </c>
      <c r="E125" s="146">
        <v>0</v>
      </c>
      <c r="F125" s="147">
        <f t="shared" si="1"/>
        <v>7209.59</v>
      </c>
      <c r="G125" s="148" t="s">
        <v>64</v>
      </c>
      <c r="H125" s="156" t="s">
        <v>160</v>
      </c>
    </row>
    <row r="126" spans="2:8" customFormat="1" hidden="1" x14ac:dyDescent="0.3">
      <c r="B126" s="149">
        <v>150400333</v>
      </c>
      <c r="C126" t="s">
        <v>278</v>
      </c>
      <c r="D126" s="146">
        <v>306666.65999999997</v>
      </c>
      <c r="E126" s="146">
        <v>0</v>
      </c>
      <c r="F126" s="147">
        <f t="shared" si="1"/>
        <v>306666.65999999997</v>
      </c>
      <c r="G126" s="148" t="s">
        <v>64</v>
      </c>
      <c r="H126" s="156" t="s">
        <v>160</v>
      </c>
    </row>
    <row r="127" spans="2:8" customFormat="1" hidden="1" x14ac:dyDescent="0.3">
      <c r="B127" s="149">
        <v>150407011</v>
      </c>
      <c r="C127" t="s">
        <v>279</v>
      </c>
      <c r="D127" s="146">
        <v>142606.34</v>
      </c>
      <c r="E127" s="146">
        <v>0</v>
      </c>
      <c r="F127" s="147">
        <f t="shared" si="1"/>
        <v>142606.34</v>
      </c>
      <c r="G127" s="148" t="s">
        <v>64</v>
      </c>
      <c r="H127" s="156" t="s">
        <v>160</v>
      </c>
    </row>
    <row r="128" spans="2:8" customFormat="1" hidden="1" x14ac:dyDescent="0.3">
      <c r="B128" s="144">
        <v>150400220</v>
      </c>
      <c r="C128" s="145" t="s">
        <v>280</v>
      </c>
      <c r="D128" s="146">
        <v>447372.13</v>
      </c>
      <c r="E128" s="146">
        <v>548099.81000000006</v>
      </c>
      <c r="F128" s="147">
        <f t="shared" si="1"/>
        <v>-100727.68000000005</v>
      </c>
      <c r="G128" s="148" t="s">
        <v>67</v>
      </c>
      <c r="H128" s="149" t="s">
        <v>160</v>
      </c>
    </row>
    <row r="129" spans="2:8" customFormat="1" hidden="1" x14ac:dyDescent="0.3">
      <c r="B129" s="144">
        <v>150408900</v>
      </c>
      <c r="C129" s="145" t="s">
        <v>281</v>
      </c>
      <c r="D129" s="146">
        <v>0</v>
      </c>
      <c r="E129" s="146">
        <v>15.49</v>
      </c>
      <c r="F129" s="147">
        <f t="shared" si="1"/>
        <v>-15.49</v>
      </c>
      <c r="G129" s="148" t="s">
        <v>68</v>
      </c>
      <c r="H129" s="149" t="s">
        <v>160</v>
      </c>
    </row>
    <row r="130" spans="2:8" customFormat="1" hidden="1" x14ac:dyDescent="0.3">
      <c r="B130" s="144">
        <v>140700040</v>
      </c>
      <c r="C130" s="145" t="s">
        <v>282</v>
      </c>
      <c r="D130" s="146">
        <v>6318.4</v>
      </c>
      <c r="E130" s="146">
        <v>6318.4</v>
      </c>
      <c r="F130" s="147">
        <f t="shared" si="1"/>
        <v>0</v>
      </c>
      <c r="G130" s="148" t="s">
        <v>68</v>
      </c>
      <c r="H130" s="149" t="s">
        <v>160</v>
      </c>
    </row>
    <row r="131" spans="2:8" customFormat="1" hidden="1" x14ac:dyDescent="0.3">
      <c r="B131" s="144">
        <v>140701011</v>
      </c>
      <c r="C131" s="145" t="s">
        <v>283</v>
      </c>
      <c r="D131" s="146">
        <v>0</v>
      </c>
      <c r="E131" s="146">
        <v>912</v>
      </c>
      <c r="F131" s="147">
        <f t="shared" si="1"/>
        <v>-912</v>
      </c>
      <c r="G131" s="148" t="s">
        <v>68</v>
      </c>
      <c r="H131" s="149" t="s">
        <v>160</v>
      </c>
    </row>
    <row r="132" spans="2:8" customFormat="1" hidden="1" x14ac:dyDescent="0.3">
      <c r="B132" s="144">
        <v>150401010</v>
      </c>
      <c r="C132" s="145" t="s">
        <v>284</v>
      </c>
      <c r="D132" s="146">
        <v>12600</v>
      </c>
      <c r="E132" s="146">
        <v>3100</v>
      </c>
      <c r="F132" s="147">
        <f t="shared" si="1"/>
        <v>9500</v>
      </c>
      <c r="G132" s="148" t="s">
        <v>68</v>
      </c>
      <c r="H132" s="149" t="s">
        <v>160</v>
      </c>
    </row>
    <row r="133" spans="2:8" customFormat="1" hidden="1" x14ac:dyDescent="0.3">
      <c r="B133" s="144">
        <v>150400310</v>
      </c>
      <c r="C133" s="145" t="s">
        <v>285</v>
      </c>
      <c r="D133" s="146">
        <v>292.60000000000002</v>
      </c>
      <c r="E133" s="146">
        <v>292.60000000000002</v>
      </c>
      <c r="F133" s="147">
        <f t="shared" si="1"/>
        <v>0</v>
      </c>
      <c r="G133" s="148" t="s">
        <v>68</v>
      </c>
      <c r="H133" s="149" t="s">
        <v>160</v>
      </c>
    </row>
    <row r="134" spans="2:8" customFormat="1" hidden="1" x14ac:dyDescent="0.3">
      <c r="B134" s="144">
        <v>150408120</v>
      </c>
      <c r="C134" s="145" t="s">
        <v>286</v>
      </c>
      <c r="D134" s="146">
        <v>652</v>
      </c>
      <c r="E134" s="146">
        <v>519.5</v>
      </c>
      <c r="F134" s="147">
        <f t="shared" si="1"/>
        <v>132.5</v>
      </c>
      <c r="G134" s="148" t="s">
        <v>68</v>
      </c>
      <c r="H134" s="149" t="s">
        <v>160</v>
      </c>
    </row>
    <row r="135" spans="2:8" customFormat="1" hidden="1" x14ac:dyDescent="0.3">
      <c r="B135" s="144">
        <v>150408985</v>
      </c>
      <c r="C135" s="145" t="s">
        <v>287</v>
      </c>
      <c r="D135" s="146">
        <v>213000</v>
      </c>
      <c r="E135" s="146">
        <v>0</v>
      </c>
      <c r="F135" s="147">
        <f t="shared" si="1"/>
        <v>213000</v>
      </c>
      <c r="G135" s="148" t="s">
        <v>68</v>
      </c>
      <c r="H135" s="149" t="s">
        <v>160</v>
      </c>
    </row>
    <row r="136" spans="2:8" customFormat="1" hidden="1" x14ac:dyDescent="0.3">
      <c r="B136" s="144">
        <v>150408010</v>
      </c>
      <c r="C136" s="145" t="s">
        <v>288</v>
      </c>
      <c r="D136" s="146">
        <v>10782.67</v>
      </c>
      <c r="E136" s="146">
        <v>9389.43</v>
      </c>
      <c r="F136" s="147">
        <f t="shared" si="1"/>
        <v>1393.2399999999998</v>
      </c>
      <c r="G136" s="148" t="s">
        <v>68</v>
      </c>
      <c r="H136" s="149" t="s">
        <v>160</v>
      </c>
    </row>
    <row r="137" spans="2:8" customFormat="1" hidden="1" x14ac:dyDescent="0.3">
      <c r="B137" s="144">
        <v>150408090</v>
      </c>
      <c r="C137" s="145" t="s">
        <v>289</v>
      </c>
      <c r="D137" s="146">
        <v>85.77</v>
      </c>
      <c r="E137" s="146">
        <v>467.9</v>
      </c>
      <c r="F137" s="147">
        <f t="shared" ref="F137:F200" si="2">D137-E137</f>
        <v>-382.13</v>
      </c>
      <c r="G137" s="148" t="s">
        <v>68</v>
      </c>
      <c r="H137" s="149" t="s">
        <v>160</v>
      </c>
    </row>
    <row r="138" spans="2:8" customFormat="1" hidden="1" x14ac:dyDescent="0.3">
      <c r="B138" s="144">
        <v>150408910</v>
      </c>
      <c r="C138" s="145" t="s">
        <v>290</v>
      </c>
      <c r="D138" s="146">
        <v>0</v>
      </c>
      <c r="E138" s="146">
        <v>210.08</v>
      </c>
      <c r="F138" s="147">
        <f t="shared" si="2"/>
        <v>-210.08</v>
      </c>
      <c r="G138" s="148" t="s">
        <v>68</v>
      </c>
      <c r="H138" s="149" t="s">
        <v>160</v>
      </c>
    </row>
    <row r="139" spans="2:8" customFormat="1" hidden="1" x14ac:dyDescent="0.3">
      <c r="B139" s="144">
        <v>150408960</v>
      </c>
      <c r="C139" s="145" t="s">
        <v>291</v>
      </c>
      <c r="D139" s="146">
        <v>2126</v>
      </c>
      <c r="E139" s="146">
        <v>2126</v>
      </c>
      <c r="F139" s="147">
        <f t="shared" si="2"/>
        <v>0</v>
      </c>
      <c r="G139" s="148" t="s">
        <v>68</v>
      </c>
      <c r="H139" s="149" t="s">
        <v>160</v>
      </c>
    </row>
    <row r="140" spans="2:8" customFormat="1" hidden="1" x14ac:dyDescent="0.3">
      <c r="B140" s="144">
        <v>150408990</v>
      </c>
      <c r="C140" s="145" t="s">
        <v>292</v>
      </c>
      <c r="D140" s="146">
        <v>2477.6</v>
      </c>
      <c r="E140" s="146">
        <v>3079.76</v>
      </c>
      <c r="F140" s="147">
        <f t="shared" si="2"/>
        <v>-602.16000000000031</v>
      </c>
      <c r="G140" s="148" t="s">
        <v>68</v>
      </c>
      <c r="H140" s="149" t="s">
        <v>160</v>
      </c>
    </row>
    <row r="141" spans="2:8" customFormat="1" hidden="1" x14ac:dyDescent="0.3">
      <c r="B141" s="144" t="s">
        <v>293</v>
      </c>
      <c r="C141" s="145" t="s">
        <v>294</v>
      </c>
      <c r="D141" s="146">
        <v>0</v>
      </c>
      <c r="E141" s="146">
        <v>11396.01</v>
      </c>
      <c r="F141" s="147">
        <f t="shared" si="2"/>
        <v>-11396.01</v>
      </c>
      <c r="G141" s="148" t="s">
        <v>68</v>
      </c>
      <c r="H141" s="149" t="s">
        <v>250</v>
      </c>
    </row>
    <row r="142" spans="2:8" customFormat="1" hidden="1" x14ac:dyDescent="0.3">
      <c r="B142" s="144">
        <v>220904091</v>
      </c>
      <c r="C142" s="145" t="s">
        <v>295</v>
      </c>
      <c r="D142" s="146">
        <v>4854</v>
      </c>
      <c r="E142" s="146">
        <v>-341</v>
      </c>
      <c r="F142" s="147">
        <f t="shared" si="2"/>
        <v>5195</v>
      </c>
      <c r="G142" s="148" t="s">
        <v>68</v>
      </c>
      <c r="H142" s="149" t="s">
        <v>250</v>
      </c>
    </row>
    <row r="143" spans="2:8" customFormat="1" hidden="1" x14ac:dyDescent="0.3">
      <c r="B143" s="144">
        <v>150408095</v>
      </c>
      <c r="C143" s="145" t="s">
        <v>296</v>
      </c>
      <c r="D143" s="146">
        <v>-7500</v>
      </c>
      <c r="E143" s="146">
        <v>0</v>
      </c>
      <c r="F143" s="147">
        <f t="shared" si="2"/>
        <v>-7500</v>
      </c>
      <c r="G143" s="148" t="s">
        <v>68</v>
      </c>
      <c r="H143" s="149" t="s">
        <v>160</v>
      </c>
    </row>
    <row r="144" spans="2:8" customFormat="1" hidden="1" x14ac:dyDescent="0.3">
      <c r="B144" s="144">
        <v>150408915</v>
      </c>
      <c r="C144" s="145" t="s">
        <v>297</v>
      </c>
      <c r="D144" s="146">
        <v>16065.55</v>
      </c>
      <c r="E144" s="146">
        <v>16592.009999999998</v>
      </c>
      <c r="F144" s="147">
        <f t="shared" si="2"/>
        <v>-526.45999999999913</v>
      </c>
      <c r="G144" s="153" t="s">
        <v>74</v>
      </c>
      <c r="H144" s="149" t="s">
        <v>160</v>
      </c>
    </row>
    <row r="145" spans="2:8" customFormat="1" hidden="1" x14ac:dyDescent="0.3">
      <c r="B145" s="144">
        <v>220104030</v>
      </c>
      <c r="C145" s="145" t="s">
        <v>298</v>
      </c>
      <c r="D145" s="146">
        <v>353430.29</v>
      </c>
      <c r="E145" s="146">
        <v>538529</v>
      </c>
      <c r="F145" s="147">
        <f t="shared" si="2"/>
        <v>-185098.71000000002</v>
      </c>
      <c r="G145" s="153" t="s">
        <v>74</v>
      </c>
      <c r="H145" s="149" t="s">
        <v>160</v>
      </c>
    </row>
    <row r="146" spans="2:8" customFormat="1" hidden="1" x14ac:dyDescent="0.3">
      <c r="B146" s="144">
        <v>220104050</v>
      </c>
      <c r="C146" s="145" t="s">
        <v>299</v>
      </c>
      <c r="D146" s="146">
        <v>87000.49</v>
      </c>
      <c r="E146" s="146">
        <v>62908.49</v>
      </c>
      <c r="F146" s="147">
        <f t="shared" si="2"/>
        <v>24092.000000000007</v>
      </c>
      <c r="G146" s="153" t="s">
        <v>74</v>
      </c>
      <c r="H146" s="149" t="s">
        <v>160</v>
      </c>
    </row>
    <row r="147" spans="2:8" customFormat="1" hidden="1" x14ac:dyDescent="0.3">
      <c r="B147" s="149">
        <v>220104540</v>
      </c>
      <c r="C147" t="s">
        <v>300</v>
      </c>
      <c r="D147" s="146">
        <v>98.98</v>
      </c>
      <c r="E147" s="146">
        <v>0</v>
      </c>
      <c r="F147" s="147">
        <f t="shared" si="2"/>
        <v>98.98</v>
      </c>
      <c r="G147" s="148" t="s">
        <v>74</v>
      </c>
      <c r="H147" s="156" t="s">
        <v>250</v>
      </c>
    </row>
    <row r="148" spans="2:8" customFormat="1" hidden="1" x14ac:dyDescent="0.3">
      <c r="B148" s="149">
        <v>220200060</v>
      </c>
      <c r="C148" t="s">
        <v>301</v>
      </c>
      <c r="D148" s="146">
        <v>754.01</v>
      </c>
      <c r="E148" s="146">
        <v>0</v>
      </c>
      <c r="F148" s="147">
        <f t="shared" si="2"/>
        <v>754.01</v>
      </c>
      <c r="G148" s="148" t="s">
        <v>74</v>
      </c>
      <c r="H148" s="156" t="s">
        <v>250</v>
      </c>
    </row>
    <row r="149" spans="2:8" customFormat="1" hidden="1" x14ac:dyDescent="0.3">
      <c r="B149" s="144">
        <v>220104010</v>
      </c>
      <c r="C149" s="145" t="s">
        <v>302</v>
      </c>
      <c r="D149" s="146">
        <v>152419.35999999999</v>
      </c>
      <c r="E149" s="146">
        <v>-349165</v>
      </c>
      <c r="F149" s="147">
        <f t="shared" si="2"/>
        <v>501584.36</v>
      </c>
      <c r="G149" s="148" t="s">
        <v>74</v>
      </c>
      <c r="H149" s="149" t="s">
        <v>250</v>
      </c>
    </row>
    <row r="150" spans="2:8" customFormat="1" hidden="1" x14ac:dyDescent="0.3">
      <c r="B150" s="144">
        <v>220104060</v>
      </c>
      <c r="C150" s="145" t="s">
        <v>303</v>
      </c>
      <c r="D150" s="146">
        <v>29088.97</v>
      </c>
      <c r="E150" s="146">
        <v>-1036603.81</v>
      </c>
      <c r="F150" s="147">
        <f t="shared" si="2"/>
        <v>1065692.78</v>
      </c>
      <c r="G150" s="148" t="s">
        <v>74</v>
      </c>
      <c r="H150" s="149" t="s">
        <v>250</v>
      </c>
    </row>
    <row r="151" spans="2:8" customFormat="1" hidden="1" x14ac:dyDescent="0.3">
      <c r="B151" s="144">
        <v>170200020</v>
      </c>
      <c r="C151" s="145" t="s">
        <v>304</v>
      </c>
      <c r="D151" s="146">
        <v>84138.38</v>
      </c>
      <c r="E151" s="146">
        <v>494</v>
      </c>
      <c r="F151" s="147">
        <f t="shared" si="2"/>
        <v>83644.38</v>
      </c>
      <c r="G151" s="148" t="s">
        <v>75</v>
      </c>
      <c r="H151" s="149" t="s">
        <v>160</v>
      </c>
    </row>
    <row r="152" spans="2:8" customFormat="1" hidden="1" x14ac:dyDescent="0.3">
      <c r="B152" s="144">
        <v>170000010</v>
      </c>
      <c r="C152" s="145" t="s">
        <v>305</v>
      </c>
      <c r="D152" s="146">
        <v>437.48</v>
      </c>
      <c r="E152" s="146">
        <v>459.48</v>
      </c>
      <c r="F152" s="147">
        <f t="shared" si="2"/>
        <v>-22</v>
      </c>
      <c r="G152" s="148" t="s">
        <v>76</v>
      </c>
      <c r="H152" s="149" t="s">
        <v>160</v>
      </c>
    </row>
    <row r="153" spans="2:8" customFormat="1" hidden="1" x14ac:dyDescent="0.3">
      <c r="B153" s="144">
        <v>170200010</v>
      </c>
      <c r="C153" s="145" t="s">
        <v>306</v>
      </c>
      <c r="D153" s="146">
        <v>5137.49</v>
      </c>
      <c r="E153" s="146">
        <v>3487.52</v>
      </c>
      <c r="F153" s="147">
        <f t="shared" si="2"/>
        <v>1649.9699999999998</v>
      </c>
      <c r="G153" s="148" t="s">
        <v>76</v>
      </c>
      <c r="H153" s="149" t="s">
        <v>160</v>
      </c>
    </row>
    <row r="154" spans="2:8" customFormat="1" hidden="1" x14ac:dyDescent="0.3">
      <c r="B154" s="144">
        <v>170200040</v>
      </c>
      <c r="C154" s="145" t="s">
        <v>307</v>
      </c>
      <c r="D154" s="146">
        <v>132</v>
      </c>
      <c r="E154" s="146">
        <v>132</v>
      </c>
      <c r="F154" s="147">
        <f t="shared" si="2"/>
        <v>0</v>
      </c>
      <c r="G154" s="148" t="s">
        <v>76</v>
      </c>
      <c r="H154" s="149" t="s">
        <v>160</v>
      </c>
    </row>
    <row r="155" spans="2:8" customFormat="1" hidden="1" x14ac:dyDescent="0.3">
      <c r="B155" s="144">
        <v>180100010</v>
      </c>
      <c r="C155" s="145" t="s">
        <v>308</v>
      </c>
      <c r="D155" s="146">
        <v>87902.1</v>
      </c>
      <c r="E155" s="146">
        <v>96673.4</v>
      </c>
      <c r="F155" s="147">
        <f t="shared" si="2"/>
        <v>-8771.2999999999884</v>
      </c>
      <c r="G155" s="148" t="s">
        <v>77</v>
      </c>
      <c r="H155" s="149" t="s">
        <v>160</v>
      </c>
    </row>
    <row r="156" spans="2:8" customFormat="1" hidden="1" x14ac:dyDescent="0.3">
      <c r="B156" s="144">
        <v>300000010</v>
      </c>
      <c r="C156" s="145" t="s">
        <v>309</v>
      </c>
      <c r="D156" s="146">
        <v>-2500000</v>
      </c>
      <c r="E156" s="146">
        <v>-2500000</v>
      </c>
      <c r="F156" s="147">
        <f t="shared" si="2"/>
        <v>0</v>
      </c>
      <c r="G156" s="148" t="s">
        <v>80</v>
      </c>
      <c r="H156" s="149" t="s">
        <v>250</v>
      </c>
    </row>
    <row r="157" spans="2:8" customFormat="1" hidden="1" x14ac:dyDescent="0.3">
      <c r="B157" s="149">
        <v>300200050</v>
      </c>
      <c r="C157" t="s">
        <v>310</v>
      </c>
      <c r="D157" s="146">
        <v>-3659158.51</v>
      </c>
      <c r="E157" s="146">
        <v>-3176971.51</v>
      </c>
      <c r="F157" s="147">
        <f t="shared" si="2"/>
        <v>-482187</v>
      </c>
      <c r="G157" s="148" t="s">
        <v>82</v>
      </c>
      <c r="H157" s="149" t="s">
        <v>250</v>
      </c>
    </row>
    <row r="158" spans="2:8" customFormat="1" hidden="1" x14ac:dyDescent="0.3">
      <c r="B158" s="149">
        <v>300200060</v>
      </c>
      <c r="C158" t="s">
        <v>311</v>
      </c>
      <c r="D158" s="146">
        <v>-3049178.59</v>
      </c>
      <c r="E158" s="146">
        <v>-3049178.59</v>
      </c>
      <c r="F158" s="147">
        <f t="shared" si="2"/>
        <v>0</v>
      </c>
      <c r="G158" s="148" t="s">
        <v>82</v>
      </c>
      <c r="H158" s="149" t="s">
        <v>250</v>
      </c>
    </row>
    <row r="159" spans="2:8" customFormat="1" hidden="1" x14ac:dyDescent="0.3">
      <c r="B159" s="144">
        <v>300300010</v>
      </c>
      <c r="C159" s="145" t="s">
        <v>312</v>
      </c>
      <c r="D159" s="146">
        <v>-108323.7</v>
      </c>
      <c r="E159" s="146">
        <v>-82945.440000000002</v>
      </c>
      <c r="F159" s="147">
        <f t="shared" si="2"/>
        <v>-25378.259999999995</v>
      </c>
      <c r="G159" s="148" t="s">
        <v>83</v>
      </c>
      <c r="H159" s="149" t="s">
        <v>250</v>
      </c>
    </row>
    <row r="160" spans="2:8" customFormat="1" hidden="1" x14ac:dyDescent="0.3">
      <c r="B160" s="144">
        <v>300601020</v>
      </c>
      <c r="C160" s="145" t="s">
        <v>313</v>
      </c>
      <c r="D160" s="146">
        <v>-247658.04</v>
      </c>
      <c r="E160" s="146">
        <v>-406913.62</v>
      </c>
      <c r="F160" s="147">
        <f t="shared" si="2"/>
        <v>159255.57999999999</v>
      </c>
      <c r="G160" s="148" t="s">
        <v>86</v>
      </c>
      <c r="H160" s="149" t="s">
        <v>250</v>
      </c>
    </row>
    <row r="161" spans="1:9" customFormat="1" hidden="1" x14ac:dyDescent="0.3">
      <c r="B161" s="144">
        <v>300400010</v>
      </c>
      <c r="C161" s="145" t="s">
        <v>314</v>
      </c>
      <c r="D161" s="146">
        <v>619748.28</v>
      </c>
      <c r="E161" s="146">
        <v>619748.28</v>
      </c>
      <c r="F161" s="147">
        <f t="shared" si="2"/>
        <v>0</v>
      </c>
      <c r="G161" s="148" t="s">
        <v>89</v>
      </c>
      <c r="H161" s="149" t="s">
        <v>250</v>
      </c>
    </row>
    <row r="162" spans="1:9" customFormat="1" hidden="1" x14ac:dyDescent="0.3">
      <c r="B162" s="144">
        <v>200001010</v>
      </c>
      <c r="C162" s="145" t="s">
        <v>315</v>
      </c>
      <c r="D162" s="146">
        <v>-176717.11</v>
      </c>
      <c r="E162" s="146">
        <v>-157322.72</v>
      </c>
      <c r="F162" s="147">
        <f t="shared" si="2"/>
        <v>-19394.389999999985</v>
      </c>
      <c r="G162" s="148" t="s">
        <v>91</v>
      </c>
      <c r="H162" s="149" t="s">
        <v>250</v>
      </c>
      <c r="I162" s="2"/>
    </row>
    <row r="163" spans="1:9" customFormat="1" hidden="1" x14ac:dyDescent="0.3">
      <c r="B163" s="144">
        <v>200101019</v>
      </c>
      <c r="C163" s="145" t="s">
        <v>316</v>
      </c>
      <c r="D163" s="146">
        <v>-374786</v>
      </c>
      <c r="E163" s="146">
        <v>-374786</v>
      </c>
      <c r="F163" s="147">
        <f t="shared" si="2"/>
        <v>0</v>
      </c>
      <c r="G163" s="148" t="s">
        <v>92</v>
      </c>
      <c r="H163" s="149" t="s">
        <v>250</v>
      </c>
    </row>
    <row r="164" spans="1:9" customFormat="1" hidden="1" x14ac:dyDescent="0.3">
      <c r="A164" s="2"/>
      <c r="B164" s="144">
        <v>210000010</v>
      </c>
      <c r="C164" s="145" t="s">
        <v>317</v>
      </c>
      <c r="D164" s="146">
        <v>-715776.97</v>
      </c>
      <c r="E164" s="146">
        <v>-652399.12</v>
      </c>
      <c r="F164" s="147">
        <f t="shared" si="2"/>
        <v>-63377.849999999977</v>
      </c>
      <c r="G164" s="148" t="s">
        <v>95</v>
      </c>
      <c r="H164" s="149" t="s">
        <v>250</v>
      </c>
    </row>
    <row r="165" spans="1:9" customFormat="1" hidden="1" x14ac:dyDescent="0.3">
      <c r="B165" s="144">
        <v>220104020</v>
      </c>
      <c r="C165" s="145" t="s">
        <v>318</v>
      </c>
      <c r="D165" s="146">
        <v>-173028.01</v>
      </c>
      <c r="E165" s="146">
        <v>204227.77</v>
      </c>
      <c r="F165" s="147">
        <f t="shared" si="2"/>
        <v>-377255.78</v>
      </c>
      <c r="G165" s="153" t="s">
        <v>97</v>
      </c>
      <c r="H165" s="149" t="s">
        <v>160</v>
      </c>
    </row>
    <row r="166" spans="1:9" customFormat="1" hidden="1" x14ac:dyDescent="0.3">
      <c r="B166" s="144">
        <v>220104200</v>
      </c>
      <c r="C166" s="145" t="s">
        <v>319</v>
      </c>
      <c r="D166" s="146">
        <v>-264213.90000000002</v>
      </c>
      <c r="E166" s="146">
        <v>-429023</v>
      </c>
      <c r="F166" s="147">
        <f t="shared" si="2"/>
        <v>164809.09999999998</v>
      </c>
      <c r="G166" s="148" t="s">
        <v>97</v>
      </c>
      <c r="H166" s="149" t="s">
        <v>250</v>
      </c>
    </row>
    <row r="167" spans="1:9" customFormat="1" hidden="1" x14ac:dyDescent="0.3">
      <c r="B167" s="144">
        <v>150408036</v>
      </c>
      <c r="C167" s="145" t="s">
        <v>320</v>
      </c>
      <c r="D167" s="146">
        <v>-1067427.54</v>
      </c>
      <c r="E167" s="146">
        <v>-1799633.03</v>
      </c>
      <c r="F167" s="147">
        <f t="shared" si="2"/>
        <v>732205.49</v>
      </c>
      <c r="G167" s="153" t="s">
        <v>97</v>
      </c>
      <c r="H167" s="149" t="s">
        <v>250</v>
      </c>
    </row>
    <row r="168" spans="1:9" customFormat="1" hidden="1" x14ac:dyDescent="0.3">
      <c r="B168" s="144">
        <v>220100309</v>
      </c>
      <c r="C168" s="145" t="s">
        <v>321</v>
      </c>
      <c r="D168" s="146">
        <v>-187308.13</v>
      </c>
      <c r="E168" s="146">
        <v>-558968.74</v>
      </c>
      <c r="F168" s="147">
        <f t="shared" si="2"/>
        <v>371660.61</v>
      </c>
      <c r="G168" s="148" t="s">
        <v>97</v>
      </c>
      <c r="H168" s="149" t="s">
        <v>250</v>
      </c>
    </row>
    <row r="169" spans="1:9" customFormat="1" hidden="1" x14ac:dyDescent="0.3">
      <c r="B169" s="144">
        <v>220101150</v>
      </c>
      <c r="C169" s="145" t="s">
        <v>322</v>
      </c>
      <c r="D169" s="146">
        <v>-799185.14</v>
      </c>
      <c r="E169" s="146">
        <v>-799955.91</v>
      </c>
      <c r="F169" s="147">
        <f t="shared" si="2"/>
        <v>770.77000000001863</v>
      </c>
      <c r="G169" s="148" t="s">
        <v>97</v>
      </c>
      <c r="H169" s="149" t="s">
        <v>250</v>
      </c>
    </row>
    <row r="170" spans="1:9" customFormat="1" hidden="1" x14ac:dyDescent="0.3">
      <c r="B170" s="144">
        <v>220101010</v>
      </c>
      <c r="C170" s="145" t="s">
        <v>323</v>
      </c>
      <c r="D170" s="146">
        <v>-775810.01</v>
      </c>
      <c r="E170" s="146">
        <v>-1483649.62</v>
      </c>
      <c r="F170" s="147">
        <f t="shared" si="2"/>
        <v>707839.6100000001</v>
      </c>
      <c r="G170" s="148" t="s">
        <v>97</v>
      </c>
      <c r="H170" s="149" t="s">
        <v>250</v>
      </c>
    </row>
    <row r="171" spans="1:9" customFormat="1" hidden="1" x14ac:dyDescent="0.3">
      <c r="B171" s="144">
        <v>220101030</v>
      </c>
      <c r="C171" s="145" t="s">
        <v>324</v>
      </c>
      <c r="D171" s="146">
        <v>-715315.34</v>
      </c>
      <c r="E171" s="146">
        <v>-1270088.57</v>
      </c>
      <c r="F171" s="147">
        <f t="shared" si="2"/>
        <v>554773.2300000001</v>
      </c>
      <c r="G171" s="148" t="s">
        <v>97</v>
      </c>
      <c r="H171" s="149" t="s">
        <v>250</v>
      </c>
    </row>
    <row r="172" spans="1:9" customFormat="1" hidden="1" x14ac:dyDescent="0.3">
      <c r="B172" s="144">
        <v>220101130</v>
      </c>
      <c r="C172" s="145" t="s">
        <v>325</v>
      </c>
      <c r="D172" s="146">
        <v>-662334.48</v>
      </c>
      <c r="E172" s="146">
        <v>-983230.44</v>
      </c>
      <c r="F172" s="147">
        <f t="shared" si="2"/>
        <v>320895.95999999996</v>
      </c>
      <c r="G172" s="148" t="s">
        <v>97</v>
      </c>
      <c r="H172" s="149" t="s">
        <v>250</v>
      </c>
    </row>
    <row r="173" spans="1:9" customFormat="1" hidden="1" x14ac:dyDescent="0.3">
      <c r="B173" s="144">
        <v>220104140</v>
      </c>
      <c r="C173" s="145" t="s">
        <v>326</v>
      </c>
      <c r="D173" s="146">
        <v>-803208.3</v>
      </c>
      <c r="E173" s="146">
        <v>-932214</v>
      </c>
      <c r="F173" s="147">
        <f t="shared" si="2"/>
        <v>129005.69999999995</v>
      </c>
      <c r="G173" s="148" t="s">
        <v>97</v>
      </c>
      <c r="H173" s="149" t="s">
        <v>250</v>
      </c>
    </row>
    <row r="174" spans="1:9" customFormat="1" hidden="1" x14ac:dyDescent="0.3">
      <c r="B174" s="144">
        <v>220104180</v>
      </c>
      <c r="C174" s="145" t="s">
        <v>327</v>
      </c>
      <c r="D174" s="146">
        <v>-758791.01</v>
      </c>
      <c r="E174" s="146">
        <v>-890961.61</v>
      </c>
      <c r="F174" s="147">
        <f t="shared" si="2"/>
        <v>132170.59999999998</v>
      </c>
      <c r="G174" s="148" t="s">
        <v>97</v>
      </c>
      <c r="H174" s="149" t="s">
        <v>250</v>
      </c>
    </row>
    <row r="175" spans="1:9" customFormat="1" hidden="1" x14ac:dyDescent="0.3">
      <c r="B175" s="144">
        <v>220107030</v>
      </c>
      <c r="C175" s="145" t="s">
        <v>328</v>
      </c>
      <c r="D175" s="146">
        <v>-335559.71</v>
      </c>
      <c r="E175" s="146">
        <v>0</v>
      </c>
      <c r="F175" s="147">
        <f t="shared" si="2"/>
        <v>-335559.71</v>
      </c>
      <c r="G175" s="148" t="s">
        <v>97</v>
      </c>
      <c r="H175" s="149" t="s">
        <v>250</v>
      </c>
    </row>
    <row r="176" spans="1:9" customFormat="1" hidden="1" x14ac:dyDescent="0.3">
      <c r="B176" s="144">
        <v>220107060</v>
      </c>
      <c r="C176" s="145" t="s">
        <v>329</v>
      </c>
      <c r="D176" s="146">
        <v>-199529.88</v>
      </c>
      <c r="E176" s="146">
        <v>-299168.14</v>
      </c>
      <c r="F176" s="147">
        <f t="shared" si="2"/>
        <v>99638.260000000009</v>
      </c>
      <c r="G176" s="148" t="s">
        <v>97</v>
      </c>
      <c r="H176" s="149" t="s">
        <v>250</v>
      </c>
    </row>
    <row r="177" spans="2:8" customFormat="1" hidden="1" x14ac:dyDescent="0.3">
      <c r="B177" s="144">
        <v>220107140</v>
      </c>
      <c r="C177" s="145" t="s">
        <v>330</v>
      </c>
      <c r="D177" s="146">
        <v>-449869.65</v>
      </c>
      <c r="E177" s="146">
        <v>-415569.29</v>
      </c>
      <c r="F177" s="147">
        <f t="shared" si="2"/>
        <v>-34300.360000000044</v>
      </c>
      <c r="G177" s="148" t="s">
        <v>97</v>
      </c>
      <c r="H177" s="149" t="s">
        <v>250</v>
      </c>
    </row>
    <row r="178" spans="2:8" customFormat="1" hidden="1" x14ac:dyDescent="0.3">
      <c r="B178" s="144">
        <v>220107180</v>
      </c>
      <c r="C178" s="145" t="s">
        <v>331</v>
      </c>
      <c r="D178" s="146">
        <v>-249877.43</v>
      </c>
      <c r="E178" s="146">
        <v>-226500.46</v>
      </c>
      <c r="F178" s="147">
        <f t="shared" si="2"/>
        <v>-23376.97</v>
      </c>
      <c r="G178" s="148" t="s">
        <v>97</v>
      </c>
      <c r="H178" s="149" t="s">
        <v>250</v>
      </c>
    </row>
    <row r="179" spans="2:8" customFormat="1" hidden="1" x14ac:dyDescent="0.3">
      <c r="B179" s="144">
        <v>220107200</v>
      </c>
      <c r="C179" s="145" t="s">
        <v>332</v>
      </c>
      <c r="D179" s="146">
        <v>-594251.5</v>
      </c>
      <c r="E179" s="146">
        <v>-297113.57</v>
      </c>
      <c r="F179" s="147">
        <f t="shared" si="2"/>
        <v>-297137.93</v>
      </c>
      <c r="G179" s="148" t="s">
        <v>97</v>
      </c>
      <c r="H179" s="149" t="s">
        <v>250</v>
      </c>
    </row>
    <row r="180" spans="2:8" customFormat="1" hidden="1" x14ac:dyDescent="0.3">
      <c r="B180" s="144">
        <v>220107210</v>
      </c>
      <c r="C180" s="145" t="s">
        <v>333</v>
      </c>
      <c r="D180" s="146">
        <v>0</v>
      </c>
      <c r="E180" s="146">
        <v>-87253.69</v>
      </c>
      <c r="F180" s="147">
        <f t="shared" si="2"/>
        <v>87253.69</v>
      </c>
      <c r="G180" s="148" t="s">
        <v>97</v>
      </c>
      <c r="H180" s="149" t="s">
        <v>250</v>
      </c>
    </row>
    <row r="181" spans="2:8" customFormat="1" hidden="1" x14ac:dyDescent="0.3">
      <c r="B181" s="144">
        <v>220120010</v>
      </c>
      <c r="C181" s="145" t="s">
        <v>334</v>
      </c>
      <c r="D181" s="146">
        <v>-173932.47</v>
      </c>
      <c r="E181" s="146">
        <v>-83057.149999999994</v>
      </c>
      <c r="F181" s="147">
        <f t="shared" si="2"/>
        <v>-90875.32</v>
      </c>
      <c r="G181" s="148" t="s">
        <v>97</v>
      </c>
      <c r="H181" s="149" t="s">
        <v>250</v>
      </c>
    </row>
    <row r="182" spans="2:8" customFormat="1" hidden="1" x14ac:dyDescent="0.3">
      <c r="B182" s="144">
        <v>220120020</v>
      </c>
      <c r="C182" s="145" t="s">
        <v>335</v>
      </c>
      <c r="D182" s="146">
        <v>-1020.31</v>
      </c>
      <c r="E182" s="146">
        <v>0</v>
      </c>
      <c r="F182" s="147">
        <f t="shared" si="2"/>
        <v>-1020.31</v>
      </c>
      <c r="G182" s="148" t="s">
        <v>97</v>
      </c>
      <c r="H182" s="149" t="s">
        <v>250</v>
      </c>
    </row>
    <row r="183" spans="2:8" customFormat="1" hidden="1" x14ac:dyDescent="0.3">
      <c r="B183" s="144">
        <v>220120060</v>
      </c>
      <c r="C183" s="145" t="s">
        <v>336</v>
      </c>
      <c r="D183" s="146">
        <v>-10382.209999999999</v>
      </c>
      <c r="E183" s="146">
        <v>-8475.2000000000007</v>
      </c>
      <c r="F183" s="147">
        <f t="shared" si="2"/>
        <v>-1907.0099999999984</v>
      </c>
      <c r="G183" s="148" t="s">
        <v>97</v>
      </c>
      <c r="H183" s="149" t="s">
        <v>250</v>
      </c>
    </row>
    <row r="184" spans="2:8" customFormat="1" hidden="1" x14ac:dyDescent="0.3">
      <c r="B184" s="144">
        <v>220120140</v>
      </c>
      <c r="C184" s="145" t="s">
        <v>337</v>
      </c>
      <c r="D184" s="146">
        <v>-44307.98</v>
      </c>
      <c r="E184" s="146">
        <v>-16209.49</v>
      </c>
      <c r="F184" s="147">
        <f t="shared" si="2"/>
        <v>-28098.490000000005</v>
      </c>
      <c r="G184" s="148" t="s">
        <v>97</v>
      </c>
      <c r="H184" s="149" t="s">
        <v>250</v>
      </c>
    </row>
    <row r="185" spans="2:8" customFormat="1" hidden="1" x14ac:dyDescent="0.3">
      <c r="B185" s="144">
        <v>220120180</v>
      </c>
      <c r="C185" s="145" t="s">
        <v>338</v>
      </c>
      <c r="D185" s="146">
        <v>-50517.120000000003</v>
      </c>
      <c r="E185" s="146">
        <v>-24681.65</v>
      </c>
      <c r="F185" s="147">
        <f t="shared" si="2"/>
        <v>-25835.47</v>
      </c>
      <c r="G185" s="148" t="s">
        <v>97</v>
      </c>
      <c r="H185" s="149" t="s">
        <v>250</v>
      </c>
    </row>
    <row r="186" spans="2:8" customFormat="1" hidden="1" x14ac:dyDescent="0.3">
      <c r="B186" s="144">
        <v>220120190</v>
      </c>
      <c r="C186" s="145" t="s">
        <v>339</v>
      </c>
      <c r="D186" s="146">
        <v>-16801.099999999999</v>
      </c>
      <c r="E186" s="146">
        <v>-8792.48</v>
      </c>
      <c r="F186" s="147">
        <f t="shared" si="2"/>
        <v>-8008.619999999999</v>
      </c>
      <c r="G186" s="148" t="s">
        <v>97</v>
      </c>
      <c r="H186" s="149" t="s">
        <v>250</v>
      </c>
    </row>
    <row r="187" spans="2:8" customFormat="1" hidden="1" x14ac:dyDescent="0.3">
      <c r="B187" s="144">
        <v>220200010</v>
      </c>
      <c r="C187" s="145" t="s">
        <v>340</v>
      </c>
      <c r="D187" s="146">
        <v>-119.95</v>
      </c>
      <c r="E187" s="146">
        <v>-162.74</v>
      </c>
      <c r="F187" s="147">
        <f t="shared" si="2"/>
        <v>42.790000000000006</v>
      </c>
      <c r="G187" s="148" t="s">
        <v>97</v>
      </c>
      <c r="H187" s="149" t="s">
        <v>250</v>
      </c>
    </row>
    <row r="188" spans="2:8" customFormat="1" hidden="1" x14ac:dyDescent="0.3">
      <c r="B188" s="144">
        <v>220200050</v>
      </c>
      <c r="C188" s="145" t="s">
        <v>341</v>
      </c>
      <c r="D188" s="146">
        <v>-488.03</v>
      </c>
      <c r="E188" s="146">
        <v>-647.91999999999996</v>
      </c>
      <c r="F188" s="147">
        <f t="shared" si="2"/>
        <v>159.88999999999999</v>
      </c>
      <c r="G188" s="148" t="s">
        <v>97</v>
      </c>
      <c r="H188" s="149" t="s">
        <v>250</v>
      </c>
    </row>
    <row r="189" spans="2:8" customFormat="1" hidden="1" x14ac:dyDescent="0.3">
      <c r="B189" s="149">
        <v>220100312</v>
      </c>
      <c r="C189" t="s">
        <v>342</v>
      </c>
      <c r="D189" s="146">
        <v>-2579472.85</v>
      </c>
      <c r="E189" s="146">
        <v>-2791069.01</v>
      </c>
      <c r="F189" s="147">
        <f t="shared" si="2"/>
        <v>211596.15999999968</v>
      </c>
      <c r="G189" s="155" t="s">
        <v>97</v>
      </c>
      <c r="H189" s="156" t="s">
        <v>250</v>
      </c>
    </row>
    <row r="190" spans="2:8" customFormat="1" hidden="1" x14ac:dyDescent="0.3">
      <c r="B190" s="149">
        <v>220100313</v>
      </c>
      <c r="C190" t="s">
        <v>343</v>
      </c>
      <c r="D190" s="146">
        <v>-681495.28</v>
      </c>
      <c r="E190" s="146">
        <v>-744787.34</v>
      </c>
      <c r="F190" s="147">
        <f t="shared" si="2"/>
        <v>63292.059999999939</v>
      </c>
      <c r="G190" s="155" t="s">
        <v>97</v>
      </c>
      <c r="H190" s="156" t="s">
        <v>250</v>
      </c>
    </row>
    <row r="191" spans="2:8" customFormat="1" hidden="1" x14ac:dyDescent="0.3">
      <c r="B191" s="144">
        <v>220107020</v>
      </c>
      <c r="C191" s="145" t="s">
        <v>344</v>
      </c>
      <c r="D191" s="146">
        <v>-299960.81</v>
      </c>
      <c r="E191" s="146">
        <v>0</v>
      </c>
      <c r="F191" s="147">
        <f t="shared" si="2"/>
        <v>-299960.81</v>
      </c>
      <c r="G191" s="148" t="s">
        <v>97</v>
      </c>
      <c r="H191" s="149" t="s">
        <v>250</v>
      </c>
    </row>
    <row r="192" spans="2:8" customFormat="1" hidden="1" x14ac:dyDescent="0.3">
      <c r="B192" s="149">
        <v>150005020</v>
      </c>
      <c r="C192" t="s">
        <v>345</v>
      </c>
      <c r="D192" s="146">
        <v>-1695890.11</v>
      </c>
      <c r="E192" s="146">
        <v>0</v>
      </c>
      <c r="F192" s="147">
        <f t="shared" si="2"/>
        <v>-1695890.11</v>
      </c>
      <c r="G192" s="148" t="s">
        <v>97</v>
      </c>
      <c r="H192" s="156" t="s">
        <v>160</v>
      </c>
    </row>
    <row r="193" spans="2:8" customFormat="1" hidden="1" x14ac:dyDescent="0.3">
      <c r="B193" s="149">
        <v>220100314</v>
      </c>
      <c r="C193" t="s">
        <v>346</v>
      </c>
      <c r="D193" s="146">
        <v>-570000</v>
      </c>
      <c r="E193" s="146">
        <v>0</v>
      </c>
      <c r="F193" s="147">
        <f t="shared" si="2"/>
        <v>-570000</v>
      </c>
      <c r="G193" s="148" t="s">
        <v>97</v>
      </c>
      <c r="H193" s="156" t="s">
        <v>250</v>
      </c>
    </row>
    <row r="194" spans="2:8" customFormat="1" hidden="1" x14ac:dyDescent="0.3">
      <c r="B194" s="144">
        <v>150408037</v>
      </c>
      <c r="C194" s="145" t="s">
        <v>347</v>
      </c>
      <c r="D194" s="146">
        <v>-1500312.37</v>
      </c>
      <c r="E194" s="146">
        <v>-2480944.19</v>
      </c>
      <c r="F194" s="147">
        <f t="shared" si="2"/>
        <v>980631.81999999983</v>
      </c>
      <c r="G194" s="153" t="s">
        <v>98</v>
      </c>
      <c r="H194" s="149" t="s">
        <v>250</v>
      </c>
    </row>
    <row r="195" spans="2:8" customFormat="1" hidden="1" x14ac:dyDescent="0.3">
      <c r="B195" s="144">
        <v>150408030</v>
      </c>
      <c r="C195" s="145" t="s">
        <v>348</v>
      </c>
      <c r="D195" s="146">
        <v>0</v>
      </c>
      <c r="E195" s="146">
        <v>-1051202.82</v>
      </c>
      <c r="F195" s="147">
        <f t="shared" si="2"/>
        <v>1051202.82</v>
      </c>
      <c r="G195" s="153" t="s">
        <v>98</v>
      </c>
      <c r="H195" s="149" t="s">
        <v>250</v>
      </c>
    </row>
    <row r="196" spans="2:8" customFormat="1" hidden="1" x14ac:dyDescent="0.3">
      <c r="B196" s="144">
        <v>150408035</v>
      </c>
      <c r="C196" s="145" t="s">
        <v>349</v>
      </c>
      <c r="D196" s="146">
        <v>0</v>
      </c>
      <c r="E196" s="146">
        <v>-190826.28</v>
      </c>
      <c r="F196" s="147">
        <f t="shared" si="2"/>
        <v>190826.28</v>
      </c>
      <c r="G196" s="153" t="s">
        <v>98</v>
      </c>
      <c r="H196" s="149" t="s">
        <v>250</v>
      </c>
    </row>
    <row r="197" spans="2:8" customFormat="1" hidden="1" x14ac:dyDescent="0.3">
      <c r="B197" s="144">
        <v>150408033</v>
      </c>
      <c r="C197" s="145" t="s">
        <v>350</v>
      </c>
      <c r="D197" s="146">
        <v>-7946.37</v>
      </c>
      <c r="E197" s="146">
        <v>0</v>
      </c>
      <c r="F197" s="147">
        <f t="shared" si="2"/>
        <v>-7946.37</v>
      </c>
      <c r="G197" s="148" t="s">
        <v>98</v>
      </c>
      <c r="H197" s="149" t="s">
        <v>160</v>
      </c>
    </row>
    <row r="198" spans="2:8" customFormat="1" hidden="1" x14ac:dyDescent="0.3">
      <c r="B198" s="149">
        <v>150408038</v>
      </c>
      <c r="C198" t="s">
        <v>351</v>
      </c>
      <c r="D198" s="146">
        <v>-400000</v>
      </c>
      <c r="E198" s="146">
        <v>0</v>
      </c>
      <c r="F198" s="147">
        <f t="shared" si="2"/>
        <v>-400000</v>
      </c>
      <c r="G198" s="148" t="s">
        <v>98</v>
      </c>
      <c r="H198" s="156" t="s">
        <v>160</v>
      </c>
    </row>
    <row r="199" spans="2:8" customFormat="1" hidden="1" x14ac:dyDescent="0.3">
      <c r="B199" s="144">
        <v>150408940</v>
      </c>
      <c r="C199" s="145" t="s">
        <v>352</v>
      </c>
      <c r="D199" s="146">
        <v>12687.45</v>
      </c>
      <c r="E199" s="146">
        <v>0</v>
      </c>
      <c r="F199" s="147">
        <f t="shared" si="2"/>
        <v>12687.45</v>
      </c>
      <c r="G199" s="148" t="s">
        <v>100</v>
      </c>
      <c r="H199" s="149" t="s">
        <v>160</v>
      </c>
    </row>
    <row r="200" spans="2:8" customFormat="1" hidden="1" x14ac:dyDescent="0.3">
      <c r="B200" s="150">
        <v>150408945</v>
      </c>
      <c r="C200" s="151" t="s">
        <v>353</v>
      </c>
      <c r="D200" s="146">
        <v>0</v>
      </c>
      <c r="E200" s="152">
        <v>22695.32</v>
      </c>
      <c r="F200" s="147">
        <f t="shared" si="2"/>
        <v>-22695.32</v>
      </c>
      <c r="G200" s="148" t="s">
        <v>100</v>
      </c>
      <c r="H200" s="154" t="s">
        <v>250</v>
      </c>
    </row>
    <row r="201" spans="2:8" customFormat="1" hidden="1" x14ac:dyDescent="0.3">
      <c r="B201" s="144">
        <v>220401010</v>
      </c>
      <c r="C201" s="145" t="s">
        <v>354</v>
      </c>
      <c r="D201" s="146">
        <v>-7466891.3499999996</v>
      </c>
      <c r="E201" s="146">
        <v>-11235325.17</v>
      </c>
      <c r="F201" s="147">
        <f t="shared" ref="F201:F265" si="3">D201-E201</f>
        <v>3768433.8200000003</v>
      </c>
      <c r="G201" s="148" t="s">
        <v>100</v>
      </c>
      <c r="H201" s="149" t="s">
        <v>250</v>
      </c>
    </row>
    <row r="202" spans="2:8" customFormat="1" hidden="1" x14ac:dyDescent="0.3">
      <c r="B202" s="144">
        <v>220402010</v>
      </c>
      <c r="C202" s="145" t="s">
        <v>355</v>
      </c>
      <c r="D202" s="146">
        <v>-1540797.93</v>
      </c>
      <c r="E202" s="146">
        <v>-1274365.28</v>
      </c>
      <c r="F202" s="147">
        <f t="shared" si="3"/>
        <v>-266432.64999999991</v>
      </c>
      <c r="G202" s="148" t="s">
        <v>100</v>
      </c>
      <c r="H202" s="149" t="s">
        <v>250</v>
      </c>
    </row>
    <row r="203" spans="2:8" customFormat="1" hidden="1" x14ac:dyDescent="0.3">
      <c r="B203" s="144">
        <v>220403010</v>
      </c>
      <c r="C203" s="145" t="s">
        <v>356</v>
      </c>
      <c r="D203" s="146">
        <v>22676.92</v>
      </c>
      <c r="E203" s="146">
        <v>-18.399999999999999</v>
      </c>
      <c r="F203" s="147">
        <f t="shared" si="3"/>
        <v>22695.32</v>
      </c>
      <c r="G203" s="148" t="s">
        <v>100</v>
      </c>
      <c r="H203" s="149" t="s">
        <v>250</v>
      </c>
    </row>
    <row r="204" spans="2:8" customFormat="1" hidden="1" x14ac:dyDescent="0.3">
      <c r="B204" s="144">
        <v>220404010</v>
      </c>
      <c r="C204" s="145" t="s">
        <v>357</v>
      </c>
      <c r="D204" s="146">
        <v>-27142.92</v>
      </c>
      <c r="E204" s="146">
        <v>-1859.85</v>
      </c>
      <c r="F204" s="147">
        <f t="shared" si="3"/>
        <v>-25283.07</v>
      </c>
      <c r="G204" s="148" t="s">
        <v>100</v>
      </c>
      <c r="H204" s="149" t="s">
        <v>250</v>
      </c>
    </row>
    <row r="205" spans="2:8" customFormat="1" hidden="1" x14ac:dyDescent="0.3">
      <c r="B205" s="144">
        <v>220406010</v>
      </c>
      <c r="C205" s="145" t="s">
        <v>358</v>
      </c>
      <c r="D205" s="146">
        <v>-568.08000000000004</v>
      </c>
      <c r="E205" s="146">
        <v>-4946.7</v>
      </c>
      <c r="F205" s="147">
        <f t="shared" si="3"/>
        <v>4378.62</v>
      </c>
      <c r="G205" s="148" t="s">
        <v>100</v>
      </c>
      <c r="H205" s="149" t="s">
        <v>250</v>
      </c>
    </row>
    <row r="206" spans="2:8" customFormat="1" hidden="1" x14ac:dyDescent="0.3">
      <c r="B206" s="144">
        <v>220408010</v>
      </c>
      <c r="C206" s="145" t="s">
        <v>359</v>
      </c>
      <c r="D206" s="146">
        <v>-1753827.91</v>
      </c>
      <c r="E206" s="146">
        <v>-1444595.25</v>
      </c>
      <c r="F206" s="147">
        <f t="shared" si="3"/>
        <v>-309232.65999999992</v>
      </c>
      <c r="G206" s="148" t="s">
        <v>100</v>
      </c>
      <c r="H206" s="149" t="s">
        <v>250</v>
      </c>
    </row>
    <row r="207" spans="2:8" customFormat="1" hidden="1" x14ac:dyDescent="0.3">
      <c r="B207" s="144">
        <v>220701021</v>
      </c>
      <c r="C207" s="145" t="s">
        <v>360</v>
      </c>
      <c r="D207" s="146">
        <v>-1131.4100000000001</v>
      </c>
      <c r="E207" s="146">
        <v>-2619.2800000000002</v>
      </c>
      <c r="F207" s="147">
        <f t="shared" si="3"/>
        <v>1487.8700000000001</v>
      </c>
      <c r="G207" s="148" t="s">
        <v>101</v>
      </c>
      <c r="H207" s="149" t="s">
        <v>250</v>
      </c>
    </row>
    <row r="208" spans="2:8" customFormat="1" hidden="1" x14ac:dyDescent="0.3">
      <c r="B208" s="144">
        <v>220701010</v>
      </c>
      <c r="C208" s="145" t="s">
        <v>361</v>
      </c>
      <c r="D208" s="146">
        <v>-36382.620000000003</v>
      </c>
      <c r="E208" s="146">
        <v>-93656.04</v>
      </c>
      <c r="F208" s="147">
        <f t="shared" si="3"/>
        <v>57273.419999999991</v>
      </c>
      <c r="G208" s="148" t="s">
        <v>101</v>
      </c>
      <c r="H208" s="149" t="s">
        <v>250</v>
      </c>
    </row>
    <row r="209" spans="2:8" customFormat="1" hidden="1" x14ac:dyDescent="0.3">
      <c r="B209" s="144">
        <v>220701020</v>
      </c>
      <c r="C209" s="145" t="s">
        <v>362</v>
      </c>
      <c r="D209" s="146">
        <v>-3516.53</v>
      </c>
      <c r="E209" s="146">
        <v>-4353.74</v>
      </c>
      <c r="F209" s="147">
        <f t="shared" si="3"/>
        <v>837.20999999999958</v>
      </c>
      <c r="G209" s="148" t="s">
        <v>101</v>
      </c>
      <c r="H209" s="149" t="s">
        <v>250</v>
      </c>
    </row>
    <row r="210" spans="2:8" customFormat="1" hidden="1" x14ac:dyDescent="0.3">
      <c r="B210" s="144">
        <v>220701035</v>
      </c>
      <c r="C210" s="145" t="s">
        <v>363</v>
      </c>
      <c r="D210" s="146">
        <v>-704.37</v>
      </c>
      <c r="E210" s="146">
        <v>-704.37</v>
      </c>
      <c r="F210" s="147">
        <f t="shared" si="3"/>
        <v>0</v>
      </c>
      <c r="G210" s="148" t="s">
        <v>101</v>
      </c>
      <c r="H210" s="149" t="s">
        <v>250</v>
      </c>
    </row>
    <row r="211" spans="2:8" customFormat="1" hidden="1" x14ac:dyDescent="0.3">
      <c r="B211" s="144">
        <v>220701100</v>
      </c>
      <c r="C211" s="145" t="s">
        <v>364</v>
      </c>
      <c r="D211" s="146">
        <v>-2495.21</v>
      </c>
      <c r="E211" s="146">
        <v>-5733.71</v>
      </c>
      <c r="F211" s="147">
        <f t="shared" si="3"/>
        <v>3238.5</v>
      </c>
      <c r="G211" s="148" t="s">
        <v>101</v>
      </c>
      <c r="H211" s="149" t="s">
        <v>250</v>
      </c>
    </row>
    <row r="212" spans="2:8" customFormat="1" hidden="1" x14ac:dyDescent="0.3">
      <c r="B212" s="144">
        <v>220702330</v>
      </c>
      <c r="C212" s="145" t="s">
        <v>365</v>
      </c>
      <c r="D212" s="146">
        <v>0</v>
      </c>
      <c r="E212" s="146">
        <v>-66313</v>
      </c>
      <c r="F212" s="147">
        <f t="shared" si="3"/>
        <v>66313</v>
      </c>
      <c r="G212" s="148" t="s">
        <v>101</v>
      </c>
      <c r="H212" s="149" t="s">
        <v>250</v>
      </c>
    </row>
    <row r="213" spans="2:8" customFormat="1" hidden="1" x14ac:dyDescent="0.3">
      <c r="B213" s="144">
        <v>220702340</v>
      </c>
      <c r="C213" s="145" t="s">
        <v>366</v>
      </c>
      <c r="D213" s="146">
        <v>-22065</v>
      </c>
      <c r="E213" s="146">
        <v>0</v>
      </c>
      <c r="F213" s="147">
        <f t="shared" si="3"/>
        <v>-22065</v>
      </c>
      <c r="G213" s="148" t="s">
        <v>101</v>
      </c>
      <c r="H213" s="149" t="s">
        <v>250</v>
      </c>
    </row>
    <row r="214" spans="2:8" customFormat="1" hidden="1" x14ac:dyDescent="0.3">
      <c r="B214" s="123">
        <v>220700080</v>
      </c>
      <c r="C214" s="2" t="s">
        <v>367</v>
      </c>
      <c r="D214" s="146">
        <v>0</v>
      </c>
      <c r="E214" s="146">
        <v>-42564</v>
      </c>
      <c r="F214" s="147">
        <f t="shared" si="3"/>
        <v>42564</v>
      </c>
      <c r="G214" s="148" t="s">
        <v>101</v>
      </c>
      <c r="H214" s="123" t="s">
        <v>250</v>
      </c>
    </row>
    <row r="215" spans="2:8" customFormat="1" hidden="1" x14ac:dyDescent="0.3">
      <c r="B215" s="123">
        <v>220700090</v>
      </c>
      <c r="C215" s="2" t="s">
        <v>368</v>
      </c>
      <c r="D215" s="146">
        <v>0</v>
      </c>
      <c r="E215" s="146">
        <v>-31435</v>
      </c>
      <c r="F215" s="147">
        <f t="shared" si="3"/>
        <v>31435</v>
      </c>
      <c r="G215" s="148" t="s">
        <v>101</v>
      </c>
      <c r="H215" s="123" t="s">
        <v>250</v>
      </c>
    </row>
    <row r="216" spans="2:8" customFormat="1" hidden="1" x14ac:dyDescent="0.3">
      <c r="B216" s="144">
        <v>220701015</v>
      </c>
      <c r="C216" s="145" t="s">
        <v>369</v>
      </c>
      <c r="D216" s="146">
        <v>-13796.35</v>
      </c>
      <c r="E216" s="146">
        <v>0</v>
      </c>
      <c r="F216" s="147">
        <f t="shared" si="3"/>
        <v>-13796.35</v>
      </c>
      <c r="G216" s="148" t="s">
        <v>101</v>
      </c>
      <c r="H216" s="149" t="s">
        <v>250</v>
      </c>
    </row>
    <row r="217" spans="2:8" customFormat="1" hidden="1" x14ac:dyDescent="0.3">
      <c r="B217" s="144">
        <v>220800044</v>
      </c>
      <c r="C217" s="145" t="s">
        <v>370</v>
      </c>
      <c r="D217" s="146">
        <v>0</v>
      </c>
      <c r="E217" s="146">
        <v>-276.56</v>
      </c>
      <c r="F217" s="147">
        <f t="shared" si="3"/>
        <v>276.56</v>
      </c>
      <c r="G217" s="148" t="s">
        <v>102</v>
      </c>
      <c r="H217" s="149" t="s">
        <v>250</v>
      </c>
    </row>
    <row r="218" spans="2:8" customFormat="1" hidden="1" x14ac:dyDescent="0.3">
      <c r="B218" s="144">
        <v>220800010</v>
      </c>
      <c r="C218" s="145" t="s">
        <v>371</v>
      </c>
      <c r="D218" s="146">
        <v>-54553</v>
      </c>
      <c r="E218" s="146">
        <v>-50790</v>
      </c>
      <c r="F218" s="147">
        <f t="shared" si="3"/>
        <v>-3763</v>
      </c>
      <c r="G218" s="148" t="s">
        <v>102</v>
      </c>
      <c r="H218" s="149" t="s">
        <v>250</v>
      </c>
    </row>
    <row r="219" spans="2:8" customFormat="1" hidden="1" x14ac:dyDescent="0.3">
      <c r="B219" s="144">
        <v>220800040</v>
      </c>
      <c r="C219" s="145" t="s">
        <v>372</v>
      </c>
      <c r="D219" s="146">
        <v>-473.28</v>
      </c>
      <c r="E219" s="146">
        <v>-214.95</v>
      </c>
      <c r="F219" s="147">
        <f t="shared" si="3"/>
        <v>-258.33</v>
      </c>
      <c r="G219" s="148" t="s">
        <v>102</v>
      </c>
      <c r="H219" s="149" t="s">
        <v>250</v>
      </c>
    </row>
    <row r="220" spans="2:8" customFormat="1" hidden="1" x14ac:dyDescent="0.3">
      <c r="B220" s="144">
        <v>220800041</v>
      </c>
      <c r="C220" s="145" t="s">
        <v>373</v>
      </c>
      <c r="D220" s="146">
        <v>-785.85</v>
      </c>
      <c r="E220" s="146">
        <v>-789.06</v>
      </c>
      <c r="F220" s="147">
        <f t="shared" si="3"/>
        <v>3.2099999999999227</v>
      </c>
      <c r="G220" s="148" t="s">
        <v>102</v>
      </c>
      <c r="H220" s="149" t="s">
        <v>250</v>
      </c>
    </row>
    <row r="221" spans="2:8" customFormat="1" hidden="1" x14ac:dyDescent="0.3">
      <c r="B221" s="144">
        <v>220800042</v>
      </c>
      <c r="C221" s="145" t="s">
        <v>374</v>
      </c>
      <c r="D221" s="146">
        <v>-197.17</v>
      </c>
      <c r="E221" s="146">
        <v>-201.35</v>
      </c>
      <c r="F221" s="147">
        <f t="shared" si="3"/>
        <v>4.1800000000000068</v>
      </c>
      <c r="G221" s="148" t="s">
        <v>102</v>
      </c>
      <c r="H221" s="149" t="s">
        <v>250</v>
      </c>
    </row>
    <row r="222" spans="2:8" customFormat="1" hidden="1" x14ac:dyDescent="0.3">
      <c r="B222" s="144">
        <v>220800070</v>
      </c>
      <c r="C222" s="145" t="s">
        <v>375</v>
      </c>
      <c r="D222" s="146">
        <v>-22956.53</v>
      </c>
      <c r="E222" s="146">
        <v>-21329.19</v>
      </c>
      <c r="F222" s="147">
        <f t="shared" si="3"/>
        <v>-1627.3400000000001</v>
      </c>
      <c r="G222" s="148" t="s">
        <v>102</v>
      </c>
      <c r="H222" s="149" t="s">
        <v>250</v>
      </c>
    </row>
    <row r="223" spans="2:8" customFormat="1" hidden="1" x14ac:dyDescent="0.3">
      <c r="B223" s="144">
        <v>220800140</v>
      </c>
      <c r="C223" s="145" t="s">
        <v>376</v>
      </c>
      <c r="D223" s="146">
        <v>-9422</v>
      </c>
      <c r="E223" s="146">
        <v>-3000</v>
      </c>
      <c r="F223" s="147">
        <f t="shared" si="3"/>
        <v>-6422</v>
      </c>
      <c r="G223" s="148" t="s">
        <v>102</v>
      </c>
      <c r="H223" s="149" t="s">
        <v>250</v>
      </c>
    </row>
    <row r="224" spans="2:8" customFormat="1" hidden="1" x14ac:dyDescent="0.3">
      <c r="B224" s="144">
        <v>220903040</v>
      </c>
      <c r="C224" s="145" t="s">
        <v>377</v>
      </c>
      <c r="D224" s="146">
        <v>-1702.68</v>
      </c>
      <c r="E224" s="146">
        <v>0</v>
      </c>
      <c r="F224" s="147">
        <f t="shared" si="3"/>
        <v>-1702.68</v>
      </c>
      <c r="G224" s="148" t="s">
        <v>102</v>
      </c>
      <c r="H224" s="149" t="s">
        <v>250</v>
      </c>
    </row>
    <row r="225" spans="2:8" customFormat="1" hidden="1" x14ac:dyDescent="0.3">
      <c r="B225" s="144">
        <v>220901010</v>
      </c>
      <c r="C225" s="145" t="s">
        <v>378</v>
      </c>
      <c r="D225" s="146">
        <v>-508.44</v>
      </c>
      <c r="E225" s="146">
        <v>-2008.6</v>
      </c>
      <c r="F225" s="147">
        <f t="shared" si="3"/>
        <v>1500.1599999999999</v>
      </c>
      <c r="G225" s="153" t="s">
        <v>103</v>
      </c>
      <c r="H225" s="149" t="s">
        <v>250</v>
      </c>
    </row>
    <row r="226" spans="2:8" customFormat="1" hidden="1" x14ac:dyDescent="0.3">
      <c r="B226" s="144">
        <v>220903010</v>
      </c>
      <c r="C226" s="145" t="s">
        <v>379</v>
      </c>
      <c r="D226" s="146">
        <v>-74306.97</v>
      </c>
      <c r="E226" s="146">
        <v>0</v>
      </c>
      <c r="F226" s="147">
        <f t="shared" si="3"/>
        <v>-74306.97</v>
      </c>
      <c r="G226" s="153" t="s">
        <v>103</v>
      </c>
      <c r="H226" s="149" t="s">
        <v>250</v>
      </c>
    </row>
    <row r="227" spans="2:8" customFormat="1" hidden="1" x14ac:dyDescent="0.3">
      <c r="B227" s="144">
        <v>220903035</v>
      </c>
      <c r="C227" s="145" t="s">
        <v>380</v>
      </c>
      <c r="D227" s="146">
        <v>-73127.17</v>
      </c>
      <c r="E227" s="146">
        <v>-69845.600000000006</v>
      </c>
      <c r="F227" s="147">
        <f t="shared" si="3"/>
        <v>-3281.5699999999924</v>
      </c>
      <c r="G227" s="148" t="s">
        <v>103</v>
      </c>
      <c r="H227" s="149" t="s">
        <v>250</v>
      </c>
    </row>
    <row r="228" spans="2:8" customFormat="1" hidden="1" x14ac:dyDescent="0.3">
      <c r="B228" s="144">
        <v>220903100</v>
      </c>
      <c r="C228" s="145" t="s">
        <v>381</v>
      </c>
      <c r="D228" s="146">
        <v>-300</v>
      </c>
      <c r="E228" s="146">
        <v>0</v>
      </c>
      <c r="F228" s="147">
        <f t="shared" si="3"/>
        <v>-300</v>
      </c>
      <c r="G228" s="153" t="s">
        <v>103</v>
      </c>
      <c r="H228" s="149" t="s">
        <v>250</v>
      </c>
    </row>
    <row r="229" spans="2:8" customFormat="1" hidden="1" x14ac:dyDescent="0.3">
      <c r="B229" s="144">
        <v>220904102</v>
      </c>
      <c r="C229" s="145" t="s">
        <v>382</v>
      </c>
      <c r="D229" s="146">
        <v>140.96</v>
      </c>
      <c r="E229" s="146">
        <v>-29.33</v>
      </c>
      <c r="F229" s="147">
        <f t="shared" si="3"/>
        <v>170.29000000000002</v>
      </c>
      <c r="G229" s="148" t="s">
        <v>103</v>
      </c>
      <c r="H229" s="149" t="s">
        <v>250</v>
      </c>
    </row>
    <row r="230" spans="2:8" customFormat="1" hidden="1" x14ac:dyDescent="0.3">
      <c r="B230" s="144">
        <v>220904040</v>
      </c>
      <c r="C230" s="145" t="s">
        <v>383</v>
      </c>
      <c r="D230" s="146">
        <v>-676.58</v>
      </c>
      <c r="E230" s="146">
        <v>-676.58</v>
      </c>
      <c r="F230" s="147">
        <f t="shared" si="3"/>
        <v>0</v>
      </c>
      <c r="G230" s="148" t="s">
        <v>103</v>
      </c>
      <c r="H230" s="149" t="s">
        <v>250</v>
      </c>
    </row>
    <row r="231" spans="2:8" customFormat="1" hidden="1" x14ac:dyDescent="0.3">
      <c r="B231" s="144">
        <v>220904090</v>
      </c>
      <c r="C231" s="145" t="s">
        <v>384</v>
      </c>
      <c r="D231" s="146">
        <v>-451.32</v>
      </c>
      <c r="E231" s="146">
        <v>-446.79</v>
      </c>
      <c r="F231" s="147">
        <f t="shared" si="3"/>
        <v>-4.5299999999999727</v>
      </c>
      <c r="G231" s="148" t="s">
        <v>103</v>
      </c>
      <c r="H231" s="149" t="s">
        <v>250</v>
      </c>
    </row>
    <row r="232" spans="2:8" customFormat="1" hidden="1" x14ac:dyDescent="0.3">
      <c r="B232" s="144">
        <v>230000010</v>
      </c>
      <c r="C232" s="145" t="s">
        <v>385</v>
      </c>
      <c r="D232" s="146">
        <v>-5258.48</v>
      </c>
      <c r="E232" s="146">
        <v>-20261.48</v>
      </c>
      <c r="F232" s="147">
        <f t="shared" si="3"/>
        <v>15003</v>
      </c>
      <c r="G232" s="148" t="s">
        <v>104</v>
      </c>
      <c r="H232" s="149" t="s">
        <v>250</v>
      </c>
    </row>
    <row r="233" spans="2:8" customFormat="1" hidden="1" x14ac:dyDescent="0.3">
      <c r="B233" s="144">
        <v>230100010</v>
      </c>
      <c r="C233" s="145" t="s">
        <v>386</v>
      </c>
      <c r="D233" s="146">
        <v>-778589.88</v>
      </c>
      <c r="E233" s="146">
        <v>-79780.66</v>
      </c>
      <c r="F233" s="147">
        <f t="shared" si="3"/>
        <v>-698809.22</v>
      </c>
      <c r="G233" s="148" t="s">
        <v>104</v>
      </c>
      <c r="H233" s="149" t="s">
        <v>250</v>
      </c>
    </row>
    <row r="234" spans="2:8" customFormat="1" hidden="1" x14ac:dyDescent="0.3">
      <c r="B234" s="144">
        <v>230101010</v>
      </c>
      <c r="C234" s="145" t="s">
        <v>387</v>
      </c>
      <c r="D234" s="146">
        <v>-87500</v>
      </c>
      <c r="E234" s="146">
        <v>-122500</v>
      </c>
      <c r="F234" s="147">
        <f t="shared" si="3"/>
        <v>35000</v>
      </c>
      <c r="G234" s="148" t="s">
        <v>104</v>
      </c>
      <c r="H234" s="149" t="s">
        <v>250</v>
      </c>
    </row>
    <row r="235" spans="2:8" customFormat="1" x14ac:dyDescent="0.3">
      <c r="B235" s="144">
        <v>400105100</v>
      </c>
      <c r="C235" s="145" t="s">
        <v>388</v>
      </c>
      <c r="D235" s="146">
        <v>41244.589999999997</v>
      </c>
      <c r="E235" s="146">
        <v>0</v>
      </c>
      <c r="F235" s="147">
        <f t="shared" si="3"/>
        <v>41244.589999999997</v>
      </c>
      <c r="G235" s="148" t="s">
        <v>111</v>
      </c>
      <c r="H235" s="149" t="s">
        <v>389</v>
      </c>
    </row>
    <row r="236" spans="2:8" customFormat="1" x14ac:dyDescent="0.3">
      <c r="B236" s="144">
        <v>410050010</v>
      </c>
      <c r="C236" s="145" t="s">
        <v>390</v>
      </c>
      <c r="D236" s="146">
        <v>1735.04</v>
      </c>
      <c r="E236" s="146">
        <v>1325.85</v>
      </c>
      <c r="F236" s="147">
        <f t="shared" si="3"/>
        <v>409.19000000000005</v>
      </c>
      <c r="G236" s="148" t="s">
        <v>111</v>
      </c>
      <c r="H236" s="149" t="s">
        <v>389</v>
      </c>
    </row>
    <row r="237" spans="2:8" customFormat="1" x14ac:dyDescent="0.3">
      <c r="B237" s="144">
        <v>500000010</v>
      </c>
      <c r="C237" s="145" t="s">
        <v>391</v>
      </c>
      <c r="D237" s="146">
        <v>-6280941.5499999998</v>
      </c>
      <c r="E237" s="146">
        <v>-2692637.3</v>
      </c>
      <c r="F237" s="147">
        <f t="shared" si="3"/>
        <v>-3588304.25</v>
      </c>
      <c r="G237" s="148" t="s">
        <v>111</v>
      </c>
      <c r="H237" s="149" t="s">
        <v>389</v>
      </c>
    </row>
    <row r="238" spans="2:8" customFormat="1" x14ac:dyDescent="0.3">
      <c r="B238" s="144">
        <v>500000020</v>
      </c>
      <c r="C238" s="145" t="s">
        <v>392</v>
      </c>
      <c r="D238" s="146">
        <v>-54828912.399999999</v>
      </c>
      <c r="E238" s="146">
        <v>-57317863.579999998</v>
      </c>
      <c r="F238" s="147">
        <f t="shared" si="3"/>
        <v>2488951.1799999997</v>
      </c>
      <c r="G238" s="148" t="s">
        <v>111</v>
      </c>
      <c r="H238" s="149" t="s">
        <v>389</v>
      </c>
    </row>
    <row r="239" spans="2:8" customFormat="1" x14ac:dyDescent="0.3">
      <c r="B239" s="144">
        <v>500000030</v>
      </c>
      <c r="C239" s="145" t="s">
        <v>393</v>
      </c>
      <c r="D239" s="146">
        <v>-6914947.6900000004</v>
      </c>
      <c r="E239" s="146">
        <v>-7816175.5899999999</v>
      </c>
      <c r="F239" s="147">
        <f t="shared" si="3"/>
        <v>901227.89999999944</v>
      </c>
      <c r="G239" s="148" t="s">
        <v>111</v>
      </c>
      <c r="H239" s="149" t="s">
        <v>389</v>
      </c>
    </row>
    <row r="240" spans="2:8" customFormat="1" x14ac:dyDescent="0.3">
      <c r="B240" s="144">
        <v>500000040</v>
      </c>
      <c r="C240" s="145" t="s">
        <v>394</v>
      </c>
      <c r="D240" s="146">
        <v>-3143521.72</v>
      </c>
      <c r="E240" s="146">
        <v>-2257415.1800000002</v>
      </c>
      <c r="F240" s="147">
        <f t="shared" si="3"/>
        <v>-886106.54</v>
      </c>
      <c r="G240" s="148" t="s">
        <v>111</v>
      </c>
      <c r="H240" s="149" t="s">
        <v>389</v>
      </c>
    </row>
    <row r="241" spans="1:8" customFormat="1" x14ac:dyDescent="0.3">
      <c r="B241" s="144">
        <v>500000050</v>
      </c>
      <c r="C241" s="145" t="s">
        <v>395</v>
      </c>
      <c r="D241" s="146">
        <v>-1640026.29</v>
      </c>
      <c r="E241" s="146">
        <v>-1525233.95</v>
      </c>
      <c r="F241" s="147">
        <f t="shared" si="3"/>
        <v>-114792.34000000008</v>
      </c>
      <c r="G241" s="148" t="s">
        <v>111</v>
      </c>
      <c r="H241" s="149" t="s">
        <v>389</v>
      </c>
    </row>
    <row r="242" spans="1:8" customFormat="1" x14ac:dyDescent="0.3">
      <c r="B242" s="144">
        <v>500000060</v>
      </c>
      <c r="C242" s="145" t="s">
        <v>396</v>
      </c>
      <c r="D242" s="146">
        <v>-70943.5</v>
      </c>
      <c r="E242" s="146">
        <v>-70264.5</v>
      </c>
      <c r="F242" s="147">
        <f t="shared" si="3"/>
        <v>-679</v>
      </c>
      <c r="G242" s="148" t="s">
        <v>111</v>
      </c>
      <c r="H242" s="149" t="s">
        <v>389</v>
      </c>
    </row>
    <row r="243" spans="1:8" customFormat="1" x14ac:dyDescent="0.3">
      <c r="B243" s="144">
        <v>500000080</v>
      </c>
      <c r="C243" s="145" t="s">
        <v>397</v>
      </c>
      <c r="D243" s="146">
        <v>-73143.16</v>
      </c>
      <c r="E243" s="146">
        <v>-77972.94</v>
      </c>
      <c r="F243" s="147">
        <f t="shared" si="3"/>
        <v>4829.7799999999988</v>
      </c>
      <c r="G243" s="148" t="s">
        <v>111</v>
      </c>
      <c r="H243" s="149" t="s">
        <v>389</v>
      </c>
    </row>
    <row r="244" spans="1:8" customFormat="1" x14ac:dyDescent="0.3">
      <c r="B244" s="144">
        <v>500000080</v>
      </c>
      <c r="C244" s="145" t="s">
        <v>398</v>
      </c>
      <c r="D244" s="146">
        <v>35100000.739999995</v>
      </c>
      <c r="E244" s="146">
        <v>35100000.739999995</v>
      </c>
      <c r="F244" s="147">
        <f t="shared" si="3"/>
        <v>0</v>
      </c>
      <c r="G244" s="148" t="s">
        <v>111</v>
      </c>
      <c r="H244" s="149" t="s">
        <v>389</v>
      </c>
    </row>
    <row r="245" spans="1:8" customFormat="1" hidden="1" x14ac:dyDescent="0.3">
      <c r="B245" s="144">
        <v>500102010</v>
      </c>
      <c r="C245" s="145" t="s">
        <v>399</v>
      </c>
      <c r="D245" s="146">
        <v>522265.08</v>
      </c>
      <c r="E245" s="146">
        <v>609220.52</v>
      </c>
      <c r="F245" s="147">
        <f t="shared" si="3"/>
        <v>-86955.44</v>
      </c>
      <c r="G245" s="148" t="s">
        <v>112</v>
      </c>
      <c r="H245" s="149" t="s">
        <v>389</v>
      </c>
    </row>
    <row r="246" spans="1:8" customFormat="1" hidden="1" x14ac:dyDescent="0.3">
      <c r="B246" s="144">
        <v>500102020</v>
      </c>
      <c r="C246" s="145" t="s">
        <v>400</v>
      </c>
      <c r="D246" s="146">
        <v>33604.68</v>
      </c>
      <c r="E246" s="146">
        <v>14666.56</v>
      </c>
      <c r="F246" s="147">
        <f t="shared" si="3"/>
        <v>18938.120000000003</v>
      </c>
      <c r="G246" s="148" t="s">
        <v>112</v>
      </c>
      <c r="H246" s="149" t="s">
        <v>389</v>
      </c>
    </row>
    <row r="247" spans="1:8" customFormat="1" hidden="1" x14ac:dyDescent="0.3">
      <c r="B247" s="144">
        <v>500102030</v>
      </c>
      <c r="C247" s="145" t="s">
        <v>401</v>
      </c>
      <c r="D247" s="146">
        <v>59646.93</v>
      </c>
      <c r="E247" s="146">
        <v>73311.22</v>
      </c>
      <c r="F247" s="147">
        <f t="shared" si="3"/>
        <v>-13664.29</v>
      </c>
      <c r="G247" s="148" t="s">
        <v>112</v>
      </c>
      <c r="H247" s="149" t="s">
        <v>389</v>
      </c>
    </row>
    <row r="248" spans="1:8" customFormat="1" hidden="1" x14ac:dyDescent="0.3">
      <c r="B248" s="144">
        <v>500102040</v>
      </c>
      <c r="C248" s="145" t="s">
        <v>402</v>
      </c>
      <c r="D248" s="146">
        <v>29139.25</v>
      </c>
      <c r="E248" s="146">
        <v>37105.629999999997</v>
      </c>
      <c r="F248" s="147">
        <f t="shared" si="3"/>
        <v>-7966.3799999999974</v>
      </c>
      <c r="G248" s="148" t="s">
        <v>112</v>
      </c>
      <c r="H248" s="149" t="s">
        <v>389</v>
      </c>
    </row>
    <row r="249" spans="1:8" customFormat="1" hidden="1" x14ac:dyDescent="0.3">
      <c r="B249" s="144">
        <v>500102110</v>
      </c>
      <c r="C249" s="145" t="s">
        <v>403</v>
      </c>
      <c r="D249" s="146">
        <v>-710905.55</v>
      </c>
      <c r="E249" s="146">
        <v>-522265.08</v>
      </c>
      <c r="F249" s="147">
        <f t="shared" si="3"/>
        <v>-188640.47000000003</v>
      </c>
      <c r="G249" s="148" t="s">
        <v>112</v>
      </c>
      <c r="H249" s="149" t="s">
        <v>389</v>
      </c>
    </row>
    <row r="250" spans="1:8" customFormat="1" hidden="1" x14ac:dyDescent="0.3">
      <c r="B250" s="144">
        <v>500102120</v>
      </c>
      <c r="C250" s="145" t="s">
        <v>404</v>
      </c>
      <c r="D250" s="146">
        <v>-36972.629999999997</v>
      </c>
      <c r="E250" s="146">
        <v>-33604.68</v>
      </c>
      <c r="F250" s="147">
        <f t="shared" si="3"/>
        <v>-3367.9499999999971</v>
      </c>
      <c r="G250" s="148" t="s">
        <v>112</v>
      </c>
      <c r="H250" s="149" t="s">
        <v>389</v>
      </c>
    </row>
    <row r="251" spans="1:8" customFormat="1" hidden="1" x14ac:dyDescent="0.3">
      <c r="B251" s="144">
        <v>500102130</v>
      </c>
      <c r="C251" s="145" t="s">
        <v>405</v>
      </c>
      <c r="D251" s="146">
        <v>-81806</v>
      </c>
      <c r="E251" s="146">
        <v>-59646.93</v>
      </c>
      <c r="F251" s="147">
        <f t="shared" si="3"/>
        <v>-22159.07</v>
      </c>
      <c r="G251" s="148" t="s">
        <v>112</v>
      </c>
      <c r="H251" s="149" t="s">
        <v>389</v>
      </c>
    </row>
    <row r="252" spans="1:8" customFormat="1" hidden="1" x14ac:dyDescent="0.3">
      <c r="B252" s="144">
        <v>500102140</v>
      </c>
      <c r="C252" s="145" t="s">
        <v>406</v>
      </c>
      <c r="D252" s="146">
        <v>-52130.83</v>
      </c>
      <c r="E252" s="146">
        <v>-29139.25</v>
      </c>
      <c r="F252" s="147">
        <f t="shared" si="3"/>
        <v>-22991.58</v>
      </c>
      <c r="G252" s="148" t="s">
        <v>112</v>
      </c>
      <c r="H252" s="149" t="s">
        <v>389</v>
      </c>
    </row>
    <row r="253" spans="1:8" customFormat="1" hidden="1" x14ac:dyDescent="0.3">
      <c r="B253" s="144">
        <v>500400010</v>
      </c>
      <c r="C253" s="145" t="s">
        <v>407</v>
      </c>
      <c r="D253" s="146">
        <v>-43494.74</v>
      </c>
      <c r="E253" s="146">
        <v>-59907.28</v>
      </c>
      <c r="F253" s="147">
        <f t="shared" si="3"/>
        <v>16412.54</v>
      </c>
      <c r="G253" s="148" t="s">
        <v>115</v>
      </c>
      <c r="H253" s="149" t="s">
        <v>389</v>
      </c>
    </row>
    <row r="254" spans="1:8" customFormat="1" hidden="1" x14ac:dyDescent="0.3">
      <c r="B254" s="144">
        <v>500400020</v>
      </c>
      <c r="C254" s="145" t="s">
        <v>408</v>
      </c>
      <c r="D254" s="146">
        <v>-2915</v>
      </c>
      <c r="E254" s="146">
        <v>-2805</v>
      </c>
      <c r="F254" s="147">
        <f t="shared" si="3"/>
        <v>-110</v>
      </c>
      <c r="G254" s="148" t="s">
        <v>115</v>
      </c>
      <c r="H254" s="149" t="s">
        <v>389</v>
      </c>
    </row>
    <row r="255" spans="1:8" customFormat="1" hidden="1" x14ac:dyDescent="0.3">
      <c r="B255" s="144">
        <v>500400030</v>
      </c>
      <c r="C255" s="145" t="s">
        <v>409</v>
      </c>
      <c r="D255" s="146">
        <v>-25769.83</v>
      </c>
      <c r="E255" s="146">
        <v>-1057.3599999999999</v>
      </c>
      <c r="F255" s="147">
        <f t="shared" si="3"/>
        <v>-24712.47</v>
      </c>
      <c r="G255" s="148" t="s">
        <v>115</v>
      </c>
      <c r="H255" s="149" t="s">
        <v>389</v>
      </c>
    </row>
    <row r="256" spans="1:8" customFormat="1" hidden="1" x14ac:dyDescent="0.3">
      <c r="A256" s="2"/>
      <c r="B256" s="144">
        <v>500400066</v>
      </c>
      <c r="C256" s="145" t="s">
        <v>410</v>
      </c>
      <c r="D256" s="146">
        <v>-88205.51</v>
      </c>
      <c r="E256" s="146">
        <v>-80129.91</v>
      </c>
      <c r="F256" s="147">
        <f t="shared" si="3"/>
        <v>-8075.5999999999913</v>
      </c>
      <c r="G256" s="148" t="s">
        <v>115</v>
      </c>
      <c r="H256" s="149" t="s">
        <v>389</v>
      </c>
    </row>
    <row r="257" spans="1:8" customFormat="1" hidden="1" x14ac:dyDescent="0.3">
      <c r="A257" s="2"/>
      <c r="B257" s="144">
        <v>500402010</v>
      </c>
      <c r="C257" s="145" t="s">
        <v>411</v>
      </c>
      <c r="D257" s="146">
        <v>-13656.89</v>
      </c>
      <c r="E257" s="146">
        <v>-12526.64</v>
      </c>
      <c r="F257" s="147">
        <f t="shared" si="3"/>
        <v>-1130.25</v>
      </c>
      <c r="G257" s="148" t="s">
        <v>115</v>
      </c>
      <c r="H257" s="149" t="s">
        <v>389</v>
      </c>
    </row>
    <row r="258" spans="1:8" hidden="1" x14ac:dyDescent="0.3">
      <c r="A258"/>
      <c r="B258" s="144">
        <v>500404010</v>
      </c>
      <c r="C258" s="145" t="s">
        <v>412</v>
      </c>
      <c r="D258" s="146">
        <v>-4.08</v>
      </c>
      <c r="E258" s="146">
        <v>-13.03</v>
      </c>
      <c r="F258" s="147">
        <f t="shared" si="3"/>
        <v>8.9499999999999993</v>
      </c>
      <c r="G258" s="148" t="s">
        <v>115</v>
      </c>
      <c r="H258" s="149" t="s">
        <v>389</v>
      </c>
    </row>
    <row r="259" spans="1:8" hidden="1" x14ac:dyDescent="0.3">
      <c r="A259"/>
      <c r="B259" s="144">
        <v>500450020</v>
      </c>
      <c r="C259" s="145" t="s">
        <v>413</v>
      </c>
      <c r="D259" s="146">
        <v>-10470.19</v>
      </c>
      <c r="E259" s="146">
        <v>-1407.65</v>
      </c>
      <c r="F259" s="147">
        <f t="shared" si="3"/>
        <v>-9062.5400000000009</v>
      </c>
      <c r="G259" s="148" t="s">
        <v>115</v>
      </c>
      <c r="H259" s="149" t="s">
        <v>389</v>
      </c>
    </row>
    <row r="260" spans="1:8" customFormat="1" hidden="1" x14ac:dyDescent="0.3">
      <c r="B260" s="144">
        <v>500450030</v>
      </c>
      <c r="C260" s="145" t="s">
        <v>414</v>
      </c>
      <c r="D260" s="146">
        <v>0</v>
      </c>
      <c r="E260" s="146">
        <v>-3000</v>
      </c>
      <c r="F260" s="147">
        <f t="shared" si="3"/>
        <v>3000</v>
      </c>
      <c r="G260" s="161" t="s">
        <v>115</v>
      </c>
      <c r="H260" s="149" t="s">
        <v>389</v>
      </c>
    </row>
    <row r="261" spans="1:8" customFormat="1" hidden="1" x14ac:dyDescent="0.3">
      <c r="B261" s="144">
        <v>500460010</v>
      </c>
      <c r="C261" s="145" t="s">
        <v>415</v>
      </c>
      <c r="D261" s="146">
        <v>-35000</v>
      </c>
      <c r="E261" s="146">
        <v>-35000</v>
      </c>
      <c r="F261" s="147">
        <f t="shared" si="3"/>
        <v>0</v>
      </c>
      <c r="G261" s="148" t="s">
        <v>115</v>
      </c>
      <c r="H261" s="149" t="s">
        <v>389</v>
      </c>
    </row>
    <row r="262" spans="1:8" customFormat="1" hidden="1" x14ac:dyDescent="0.3">
      <c r="B262" s="144">
        <v>530000010</v>
      </c>
      <c r="C262" s="145" t="s">
        <v>416</v>
      </c>
      <c r="D262" s="146">
        <v>-15236.43</v>
      </c>
      <c r="E262" s="146">
        <v>-700</v>
      </c>
      <c r="F262" s="147">
        <f t="shared" si="3"/>
        <v>-14536.43</v>
      </c>
      <c r="G262" s="148" t="s">
        <v>115</v>
      </c>
      <c r="H262" s="149" t="s">
        <v>389</v>
      </c>
    </row>
    <row r="263" spans="1:8" customFormat="1" hidden="1" x14ac:dyDescent="0.3">
      <c r="B263" s="144">
        <v>530104010</v>
      </c>
      <c r="C263" s="145" t="s">
        <v>417</v>
      </c>
      <c r="D263" s="146">
        <v>-43148.63</v>
      </c>
      <c r="E263" s="146">
        <v>-50208.97</v>
      </c>
      <c r="F263" s="147">
        <f t="shared" si="3"/>
        <v>7060.3400000000038</v>
      </c>
      <c r="G263" s="148" t="s">
        <v>115</v>
      </c>
      <c r="H263" s="149" t="s">
        <v>389</v>
      </c>
    </row>
    <row r="264" spans="1:8" customFormat="1" hidden="1" x14ac:dyDescent="0.3">
      <c r="B264" s="149">
        <v>500450050</v>
      </c>
      <c r="C264" t="s">
        <v>418</v>
      </c>
      <c r="D264" s="146">
        <v>-34029.800000000003</v>
      </c>
      <c r="E264" s="146">
        <v>-5979.8</v>
      </c>
      <c r="F264" s="147">
        <f t="shared" si="3"/>
        <v>-28050.000000000004</v>
      </c>
      <c r="G264" s="148" t="s">
        <v>115</v>
      </c>
      <c r="H264" s="149" t="s">
        <v>389</v>
      </c>
    </row>
    <row r="265" spans="1:8" customFormat="1" hidden="1" x14ac:dyDescent="0.3">
      <c r="B265" s="149">
        <v>500400067</v>
      </c>
      <c r="C265" t="s">
        <v>419</v>
      </c>
      <c r="D265" s="146">
        <v>0</v>
      </c>
      <c r="E265" s="146">
        <v>-90315</v>
      </c>
      <c r="F265" s="147">
        <f t="shared" si="3"/>
        <v>90315</v>
      </c>
      <c r="G265" s="155" t="s">
        <v>115</v>
      </c>
      <c r="H265" s="156" t="s">
        <v>389</v>
      </c>
    </row>
    <row r="266" spans="1:8" customFormat="1" hidden="1" x14ac:dyDescent="0.3">
      <c r="B266" s="144">
        <v>500400090</v>
      </c>
      <c r="C266" s="145" t="s">
        <v>420</v>
      </c>
      <c r="D266" s="146">
        <v>0</v>
      </c>
      <c r="E266" s="146">
        <v>-1000</v>
      </c>
      <c r="F266" s="147">
        <f t="shared" ref="F266:F330" si="4">D266-E266</f>
        <v>1000</v>
      </c>
      <c r="G266" s="148" t="s">
        <v>115</v>
      </c>
      <c r="H266" s="149" t="s">
        <v>389</v>
      </c>
    </row>
    <row r="267" spans="1:8" customFormat="1" hidden="1" x14ac:dyDescent="0.3">
      <c r="B267" s="149">
        <v>500400068</v>
      </c>
      <c r="C267" t="s">
        <v>421</v>
      </c>
      <c r="D267" s="146">
        <v>0</v>
      </c>
      <c r="E267" s="146">
        <v>-7545.63</v>
      </c>
      <c r="F267" s="147">
        <f t="shared" si="4"/>
        <v>7545.63</v>
      </c>
      <c r="G267" s="155" t="s">
        <v>115</v>
      </c>
      <c r="H267" s="149" t="s">
        <v>389</v>
      </c>
    </row>
    <row r="268" spans="1:8" customFormat="1" hidden="1" x14ac:dyDescent="0.3">
      <c r="B268" s="149">
        <v>500400091</v>
      </c>
      <c r="C268" t="s">
        <v>422</v>
      </c>
      <c r="D268" s="146">
        <v>0</v>
      </c>
      <c r="E268" s="146">
        <v>-5136.53</v>
      </c>
      <c r="F268" s="147">
        <f t="shared" si="4"/>
        <v>5136.53</v>
      </c>
      <c r="G268" s="155" t="s">
        <v>115</v>
      </c>
      <c r="H268" s="149" t="s">
        <v>389</v>
      </c>
    </row>
    <row r="269" spans="1:8" customFormat="1" hidden="1" x14ac:dyDescent="0.3">
      <c r="B269" s="144">
        <v>500400075</v>
      </c>
      <c r="C269" s="145" t="s">
        <v>423</v>
      </c>
      <c r="D269" s="146">
        <v>0</v>
      </c>
      <c r="E269" s="146">
        <v>-927.69</v>
      </c>
      <c r="F269" s="147">
        <f t="shared" si="4"/>
        <v>927.69</v>
      </c>
      <c r="G269" s="148" t="s">
        <v>115</v>
      </c>
      <c r="H269" s="149" t="s">
        <v>389</v>
      </c>
    </row>
    <row r="270" spans="1:8" customFormat="1" hidden="1" x14ac:dyDescent="0.3">
      <c r="B270" s="150">
        <v>500450070</v>
      </c>
      <c r="C270" s="151" t="s">
        <v>424</v>
      </c>
      <c r="D270" s="146">
        <v>0</v>
      </c>
      <c r="E270" s="152">
        <v>-2088</v>
      </c>
      <c r="F270" s="147">
        <f t="shared" si="4"/>
        <v>2088</v>
      </c>
      <c r="G270" s="161" t="s">
        <v>115</v>
      </c>
      <c r="H270" s="154" t="s">
        <v>389</v>
      </c>
    </row>
    <row r="271" spans="1:8" customFormat="1" hidden="1" x14ac:dyDescent="0.3">
      <c r="B271" s="123">
        <v>500450080</v>
      </c>
      <c r="C271" s="2" t="s">
        <v>425</v>
      </c>
      <c r="D271" s="146">
        <v>-14112.5</v>
      </c>
      <c r="E271" s="146">
        <v>0</v>
      </c>
      <c r="F271" s="162">
        <f t="shared" si="4"/>
        <v>-14112.5</v>
      </c>
      <c r="G271" s="155" t="s">
        <v>115</v>
      </c>
      <c r="H271" s="156" t="s">
        <v>389</v>
      </c>
    </row>
    <row r="272" spans="1:8" customFormat="1" hidden="1" x14ac:dyDescent="0.3">
      <c r="B272" s="144">
        <v>500400040</v>
      </c>
      <c r="C272" s="145" t="s">
        <v>426</v>
      </c>
      <c r="D272" s="146">
        <v>-216.03</v>
      </c>
      <c r="E272" s="146">
        <v>-1204.96</v>
      </c>
      <c r="F272" s="147">
        <f t="shared" si="4"/>
        <v>988.93000000000006</v>
      </c>
      <c r="G272" s="148" t="s">
        <v>115</v>
      </c>
      <c r="H272" s="149" t="s">
        <v>389</v>
      </c>
    </row>
    <row r="273" spans="2:8" customFormat="1" hidden="1" x14ac:dyDescent="0.3">
      <c r="B273" s="144">
        <v>500450010</v>
      </c>
      <c r="C273" s="145" t="s">
        <v>427</v>
      </c>
      <c r="D273" s="146">
        <v>-735</v>
      </c>
      <c r="E273" s="146">
        <v>0</v>
      </c>
      <c r="F273" s="147">
        <f t="shared" si="4"/>
        <v>-735</v>
      </c>
      <c r="G273" s="161" t="s">
        <v>116</v>
      </c>
      <c r="H273" s="149" t="s">
        <v>389</v>
      </c>
    </row>
    <row r="274" spans="2:8" customFormat="1" hidden="1" x14ac:dyDescent="0.3">
      <c r="B274" s="149">
        <v>500450060</v>
      </c>
      <c r="C274" t="s">
        <v>428</v>
      </c>
      <c r="D274" s="146">
        <v>-231735.88</v>
      </c>
      <c r="E274" s="146">
        <v>-661751.97</v>
      </c>
      <c r="F274" s="147">
        <f t="shared" si="4"/>
        <v>430016.08999999997</v>
      </c>
      <c r="G274" s="161" t="s">
        <v>116</v>
      </c>
      <c r="H274" s="149" t="s">
        <v>389</v>
      </c>
    </row>
    <row r="275" spans="2:8" customFormat="1" hidden="1" x14ac:dyDescent="0.3">
      <c r="B275" s="144">
        <v>400000010</v>
      </c>
      <c r="C275" s="145" t="s">
        <v>429</v>
      </c>
      <c r="D275" s="146">
        <v>45910584.039999999</v>
      </c>
      <c r="E275" s="146">
        <v>50142181.359999999</v>
      </c>
      <c r="F275" s="147">
        <f t="shared" si="4"/>
        <v>-4231597.32</v>
      </c>
      <c r="G275" s="148" t="s">
        <v>118</v>
      </c>
      <c r="H275" s="149" t="s">
        <v>430</v>
      </c>
    </row>
    <row r="276" spans="2:8" customFormat="1" hidden="1" x14ac:dyDescent="0.3">
      <c r="B276" s="144">
        <v>400000020</v>
      </c>
      <c r="C276" s="145" t="s">
        <v>431</v>
      </c>
      <c r="D276" s="146">
        <v>8472044.8000000007</v>
      </c>
      <c r="E276" s="146">
        <v>5858953.6699999999</v>
      </c>
      <c r="F276" s="147">
        <f t="shared" si="4"/>
        <v>2613091.1300000008</v>
      </c>
      <c r="G276" s="148" t="s">
        <v>118</v>
      </c>
      <c r="H276" s="149" t="s">
        <v>430</v>
      </c>
    </row>
    <row r="277" spans="2:8" customFormat="1" hidden="1" x14ac:dyDescent="0.3">
      <c r="B277" s="144">
        <v>400000030</v>
      </c>
      <c r="C277" s="145" t="s">
        <v>432</v>
      </c>
      <c r="D277" s="146">
        <v>724540.76</v>
      </c>
      <c r="E277" s="146">
        <v>297572.28000000003</v>
      </c>
      <c r="F277" s="147">
        <f t="shared" si="4"/>
        <v>426968.48</v>
      </c>
      <c r="G277" s="148" t="s">
        <v>118</v>
      </c>
      <c r="H277" s="149" t="s">
        <v>430</v>
      </c>
    </row>
    <row r="278" spans="2:8" customFormat="1" hidden="1" x14ac:dyDescent="0.3">
      <c r="B278" s="144">
        <v>400000040</v>
      </c>
      <c r="C278" s="145" t="s">
        <v>433</v>
      </c>
      <c r="D278" s="146">
        <v>101453.71</v>
      </c>
      <c r="E278" s="146">
        <v>127867.38</v>
      </c>
      <c r="F278" s="147">
        <f t="shared" si="4"/>
        <v>-26413.67</v>
      </c>
      <c r="G278" s="148" t="s">
        <v>118</v>
      </c>
      <c r="H278" s="149" t="s">
        <v>430</v>
      </c>
    </row>
    <row r="279" spans="2:8" customFormat="1" hidden="1" x14ac:dyDescent="0.3">
      <c r="B279" s="144">
        <v>400000050</v>
      </c>
      <c r="C279" s="145" t="s">
        <v>434</v>
      </c>
      <c r="D279" s="146">
        <v>1275373.54</v>
      </c>
      <c r="E279" s="146">
        <v>1287927.03</v>
      </c>
      <c r="F279" s="147">
        <f t="shared" si="4"/>
        <v>-12553.489999999991</v>
      </c>
      <c r="G279" s="148" t="s">
        <v>118</v>
      </c>
      <c r="H279" s="149" t="s">
        <v>430</v>
      </c>
    </row>
    <row r="280" spans="2:8" customFormat="1" hidden="1" x14ac:dyDescent="0.3">
      <c r="B280" s="144">
        <v>400000060</v>
      </c>
      <c r="C280" s="145" t="s">
        <v>435</v>
      </c>
      <c r="D280" s="146">
        <v>631494.18999999994</v>
      </c>
      <c r="E280" s="146">
        <v>336470.26</v>
      </c>
      <c r="F280" s="147">
        <f t="shared" si="4"/>
        <v>295023.92999999993</v>
      </c>
      <c r="G280" s="148" t="s">
        <v>118</v>
      </c>
      <c r="H280" s="149" t="s">
        <v>430</v>
      </c>
    </row>
    <row r="281" spans="2:8" customFormat="1" hidden="1" x14ac:dyDescent="0.3">
      <c r="B281" s="144">
        <v>400000070</v>
      </c>
      <c r="C281" s="145" t="s">
        <v>436</v>
      </c>
      <c r="D281" s="146">
        <v>70.97</v>
      </c>
      <c r="E281" s="146">
        <v>32.01</v>
      </c>
      <c r="F281" s="147">
        <f t="shared" si="4"/>
        <v>38.96</v>
      </c>
      <c r="G281" s="148" t="s">
        <v>118</v>
      </c>
      <c r="H281" s="149" t="s">
        <v>430</v>
      </c>
    </row>
    <row r="282" spans="2:8" customFormat="1" hidden="1" x14ac:dyDescent="0.3">
      <c r="B282" s="144">
        <v>400000080</v>
      </c>
      <c r="C282" s="145" t="s">
        <v>437</v>
      </c>
      <c r="D282" s="146">
        <v>27003.74</v>
      </c>
      <c r="E282" s="146">
        <v>24329.25</v>
      </c>
      <c r="F282" s="147">
        <f t="shared" si="4"/>
        <v>2674.4900000000016</v>
      </c>
      <c r="G282" s="148" t="s">
        <v>118</v>
      </c>
      <c r="H282" s="149" t="s">
        <v>430</v>
      </c>
    </row>
    <row r="283" spans="2:8" customFormat="1" hidden="1" x14ac:dyDescent="0.3">
      <c r="B283" s="144">
        <v>400010010</v>
      </c>
      <c r="C283" s="145" t="s">
        <v>438</v>
      </c>
      <c r="D283" s="146">
        <v>67657.97</v>
      </c>
      <c r="E283" s="146">
        <v>69188.429999999993</v>
      </c>
      <c r="F283" s="147">
        <f t="shared" si="4"/>
        <v>-1530.4599999999919</v>
      </c>
      <c r="G283" s="148" t="s">
        <v>118</v>
      </c>
      <c r="H283" s="149" t="s">
        <v>430</v>
      </c>
    </row>
    <row r="284" spans="2:8" customFormat="1" hidden="1" x14ac:dyDescent="0.3">
      <c r="B284" s="144">
        <v>400020010</v>
      </c>
      <c r="C284" s="145" t="s">
        <v>439</v>
      </c>
      <c r="D284" s="146">
        <v>128203.32</v>
      </c>
      <c r="E284" s="146">
        <v>60439.45</v>
      </c>
      <c r="F284" s="147">
        <f t="shared" si="4"/>
        <v>67763.87000000001</v>
      </c>
      <c r="G284" s="148" t="s">
        <v>118</v>
      </c>
      <c r="H284" s="149" t="s">
        <v>430</v>
      </c>
    </row>
    <row r="285" spans="2:8" customFormat="1" hidden="1" x14ac:dyDescent="0.3">
      <c r="B285" s="144">
        <v>400030010</v>
      </c>
      <c r="C285" s="145" t="s">
        <v>440</v>
      </c>
      <c r="D285" s="146">
        <v>549631.6</v>
      </c>
      <c r="E285" s="146">
        <v>496777.17</v>
      </c>
      <c r="F285" s="147">
        <f t="shared" si="4"/>
        <v>52854.429999999993</v>
      </c>
      <c r="G285" s="148" t="s">
        <v>118</v>
      </c>
      <c r="H285" s="149" t="s">
        <v>430</v>
      </c>
    </row>
    <row r="286" spans="2:8" customFormat="1" hidden="1" x14ac:dyDescent="0.3">
      <c r="B286" s="144">
        <v>400030020</v>
      </c>
      <c r="C286" s="145" t="s">
        <v>441</v>
      </c>
      <c r="D286" s="146">
        <v>111290.88</v>
      </c>
      <c r="E286" s="146">
        <v>162375.76999999999</v>
      </c>
      <c r="F286" s="147">
        <f t="shared" si="4"/>
        <v>-51084.889999999985</v>
      </c>
      <c r="G286" s="148" t="s">
        <v>118</v>
      </c>
      <c r="H286" s="149" t="s">
        <v>430</v>
      </c>
    </row>
    <row r="287" spans="2:8" customFormat="1" hidden="1" x14ac:dyDescent="0.3">
      <c r="B287" s="144">
        <v>400108012</v>
      </c>
      <c r="C287" s="145" t="s">
        <v>442</v>
      </c>
      <c r="D287" s="146">
        <v>6910.56</v>
      </c>
      <c r="E287" s="146">
        <v>3120.03</v>
      </c>
      <c r="F287" s="147">
        <f t="shared" si="4"/>
        <v>3790.53</v>
      </c>
      <c r="G287" s="148" t="s">
        <v>118</v>
      </c>
      <c r="H287" s="149" t="s">
        <v>430</v>
      </c>
    </row>
    <row r="288" spans="2:8" customFormat="1" hidden="1" x14ac:dyDescent="0.3">
      <c r="B288" s="144">
        <v>500400070</v>
      </c>
      <c r="C288" s="145" t="s">
        <v>443</v>
      </c>
      <c r="D288" s="146">
        <v>-407.89</v>
      </c>
      <c r="E288" s="146">
        <v>-304.02</v>
      </c>
      <c r="F288" s="147">
        <f t="shared" si="4"/>
        <v>-103.87</v>
      </c>
      <c r="G288" s="148" t="s">
        <v>118</v>
      </c>
      <c r="H288" s="149" t="s">
        <v>389</v>
      </c>
    </row>
    <row r="289" spans="2:8" customFormat="1" hidden="1" x14ac:dyDescent="0.3">
      <c r="B289" s="144">
        <v>400304040</v>
      </c>
      <c r="C289" s="145" t="s">
        <v>444</v>
      </c>
      <c r="D289" s="146">
        <v>7553.09</v>
      </c>
      <c r="E289" s="146">
        <v>5220.21</v>
      </c>
      <c r="F289" s="147">
        <f t="shared" si="4"/>
        <v>2332.88</v>
      </c>
      <c r="G289" s="148" t="s">
        <v>118</v>
      </c>
      <c r="H289" s="149" t="s">
        <v>430</v>
      </c>
    </row>
    <row r="290" spans="2:8" customFormat="1" hidden="1" x14ac:dyDescent="0.3">
      <c r="B290" s="144">
        <v>400503010</v>
      </c>
      <c r="C290" s="145" t="s">
        <v>445</v>
      </c>
      <c r="D290" s="146">
        <v>3312.87</v>
      </c>
      <c r="E290" s="146">
        <v>1847.68</v>
      </c>
      <c r="F290" s="147">
        <f t="shared" si="4"/>
        <v>1465.1899999999998</v>
      </c>
      <c r="G290" s="148" t="s">
        <v>118</v>
      </c>
      <c r="H290" s="149" t="s">
        <v>430</v>
      </c>
    </row>
    <row r="291" spans="2:8" customFormat="1" hidden="1" x14ac:dyDescent="0.3">
      <c r="B291" s="144">
        <v>400040010</v>
      </c>
      <c r="C291" s="145" t="s">
        <v>446</v>
      </c>
      <c r="D291" s="146">
        <v>19937.07</v>
      </c>
      <c r="E291" s="146">
        <v>22700.95</v>
      </c>
      <c r="F291" s="147">
        <f t="shared" si="4"/>
        <v>-2763.880000000001</v>
      </c>
      <c r="G291" s="148" t="s">
        <v>118</v>
      </c>
      <c r="H291" s="149" t="s">
        <v>430</v>
      </c>
    </row>
    <row r="292" spans="2:8" customFormat="1" hidden="1" x14ac:dyDescent="0.3">
      <c r="B292" s="144">
        <v>400040020</v>
      </c>
      <c r="C292" s="145" t="s">
        <v>447</v>
      </c>
      <c r="D292" s="146">
        <v>10120</v>
      </c>
      <c r="E292" s="146">
        <v>14765</v>
      </c>
      <c r="F292" s="147">
        <f t="shared" si="4"/>
        <v>-4645</v>
      </c>
      <c r="G292" s="148" t="s">
        <v>118</v>
      </c>
      <c r="H292" s="149" t="s">
        <v>430</v>
      </c>
    </row>
    <row r="293" spans="2:8" customFormat="1" hidden="1" x14ac:dyDescent="0.3">
      <c r="B293" s="144">
        <v>400040020</v>
      </c>
      <c r="C293" s="145" t="s">
        <v>448</v>
      </c>
      <c r="D293" s="146">
        <v>-35100000.740000002</v>
      </c>
      <c r="E293" s="146">
        <v>-35100000.740000002</v>
      </c>
      <c r="F293" s="147">
        <f t="shared" si="4"/>
        <v>0</v>
      </c>
      <c r="G293" s="148" t="s">
        <v>118</v>
      </c>
      <c r="H293" s="149" t="s">
        <v>430</v>
      </c>
    </row>
    <row r="294" spans="2:8" customFormat="1" hidden="1" x14ac:dyDescent="0.3">
      <c r="B294" s="144">
        <v>400108010</v>
      </c>
      <c r="C294" s="145" t="s">
        <v>449</v>
      </c>
      <c r="D294" s="146">
        <v>926762.21</v>
      </c>
      <c r="E294" s="146">
        <v>570208.52</v>
      </c>
      <c r="F294" s="147">
        <f t="shared" si="4"/>
        <v>356553.68999999994</v>
      </c>
      <c r="G294" s="148" t="s">
        <v>119</v>
      </c>
      <c r="H294" s="149" t="s">
        <v>430</v>
      </c>
    </row>
    <row r="295" spans="2:8" customFormat="1" hidden="1" x14ac:dyDescent="0.3">
      <c r="B295" s="144">
        <v>400108040</v>
      </c>
      <c r="C295" s="145" t="s">
        <v>450</v>
      </c>
      <c r="D295" s="146">
        <v>27537.09</v>
      </c>
      <c r="E295" s="146">
        <v>27840.799999999999</v>
      </c>
      <c r="F295" s="147">
        <f t="shared" si="4"/>
        <v>-303.70999999999913</v>
      </c>
      <c r="G295" s="148" t="s">
        <v>119</v>
      </c>
      <c r="H295" s="149" t="s">
        <v>430</v>
      </c>
    </row>
    <row r="296" spans="2:8" customFormat="1" hidden="1" x14ac:dyDescent="0.3">
      <c r="B296" s="144">
        <v>400108050</v>
      </c>
      <c r="C296" s="145" t="s">
        <v>451</v>
      </c>
      <c r="D296" s="146">
        <v>22587.05</v>
      </c>
      <c r="E296" s="146">
        <v>5996.33</v>
      </c>
      <c r="F296" s="147">
        <f t="shared" si="4"/>
        <v>16590.72</v>
      </c>
      <c r="G296" s="148" t="s">
        <v>119</v>
      </c>
      <c r="H296" s="149" t="s">
        <v>430</v>
      </c>
    </row>
    <row r="297" spans="2:8" customFormat="1" hidden="1" x14ac:dyDescent="0.3">
      <c r="B297" s="144">
        <v>400010020</v>
      </c>
      <c r="C297" s="145" t="s">
        <v>452</v>
      </c>
      <c r="D297" s="146">
        <v>90976.68</v>
      </c>
      <c r="E297" s="146">
        <v>68846.11</v>
      </c>
      <c r="F297" s="147">
        <f t="shared" si="4"/>
        <v>22130.569999999992</v>
      </c>
      <c r="G297" s="148" t="s">
        <v>119</v>
      </c>
      <c r="H297" s="149" t="s">
        <v>430</v>
      </c>
    </row>
    <row r="298" spans="2:8" customFormat="1" hidden="1" x14ac:dyDescent="0.3">
      <c r="B298" s="144">
        <v>400010030</v>
      </c>
      <c r="C298" s="145" t="s">
        <v>453</v>
      </c>
      <c r="D298" s="146">
        <v>3773.06</v>
      </c>
      <c r="E298" s="146">
        <v>4215.8</v>
      </c>
      <c r="F298" s="147">
        <f t="shared" si="4"/>
        <v>-442.74000000000024</v>
      </c>
      <c r="G298" s="148" t="s">
        <v>119</v>
      </c>
      <c r="H298" s="149" t="s">
        <v>430</v>
      </c>
    </row>
    <row r="299" spans="2:8" customFormat="1" hidden="1" x14ac:dyDescent="0.3">
      <c r="B299" s="144">
        <v>400100120</v>
      </c>
      <c r="C299" s="145" t="s">
        <v>454</v>
      </c>
      <c r="D299" s="146">
        <v>4207.8100000000004</v>
      </c>
      <c r="E299" s="146">
        <v>2010</v>
      </c>
      <c r="F299" s="147">
        <f t="shared" si="4"/>
        <v>2197.8100000000004</v>
      </c>
      <c r="G299" s="148" t="s">
        <v>119</v>
      </c>
      <c r="H299" s="149" t="s">
        <v>430</v>
      </c>
    </row>
    <row r="300" spans="2:8" customFormat="1" hidden="1" x14ac:dyDescent="0.3">
      <c r="B300" s="144">
        <v>400100121</v>
      </c>
      <c r="C300" s="145" t="s">
        <v>455</v>
      </c>
      <c r="D300" s="146">
        <v>10652.56</v>
      </c>
      <c r="E300" s="146">
        <v>12371.09</v>
      </c>
      <c r="F300" s="147">
        <f t="shared" si="4"/>
        <v>-1718.5300000000007</v>
      </c>
      <c r="G300" s="148" t="s">
        <v>119</v>
      </c>
      <c r="H300" s="149" t="s">
        <v>430</v>
      </c>
    </row>
    <row r="301" spans="2:8" customFormat="1" hidden="1" x14ac:dyDescent="0.3">
      <c r="B301" s="144">
        <v>400100010</v>
      </c>
      <c r="C301" s="145" t="s">
        <v>456</v>
      </c>
      <c r="D301" s="146">
        <v>21518.5</v>
      </c>
      <c r="E301" s="146">
        <v>13615.36</v>
      </c>
      <c r="F301" s="147">
        <f t="shared" si="4"/>
        <v>7903.1399999999994</v>
      </c>
      <c r="G301" s="148" t="s">
        <v>119</v>
      </c>
      <c r="H301" s="149" t="s">
        <v>430</v>
      </c>
    </row>
    <row r="302" spans="2:8" customFormat="1" hidden="1" x14ac:dyDescent="0.3">
      <c r="B302" s="144">
        <v>400100030</v>
      </c>
      <c r="C302" s="145" t="s">
        <v>457</v>
      </c>
      <c r="D302" s="146">
        <v>174396.68</v>
      </c>
      <c r="E302" s="146">
        <v>115145.66</v>
      </c>
      <c r="F302" s="147">
        <f t="shared" si="4"/>
        <v>59251.01999999999</v>
      </c>
      <c r="G302" s="148" t="s">
        <v>119</v>
      </c>
      <c r="H302" s="149" t="s">
        <v>430</v>
      </c>
    </row>
    <row r="303" spans="2:8" customFormat="1" hidden="1" x14ac:dyDescent="0.3">
      <c r="B303" s="144">
        <v>400100050</v>
      </c>
      <c r="C303" s="145" t="s">
        <v>458</v>
      </c>
      <c r="D303" s="146">
        <v>0</v>
      </c>
      <c r="E303" s="146">
        <v>553.28</v>
      </c>
      <c r="F303" s="147">
        <f t="shared" si="4"/>
        <v>-553.28</v>
      </c>
      <c r="G303" s="148" t="s">
        <v>119</v>
      </c>
      <c r="H303" s="149" t="s">
        <v>430</v>
      </c>
    </row>
    <row r="304" spans="2:8" customFormat="1" hidden="1" x14ac:dyDescent="0.3">
      <c r="B304" s="144">
        <v>400100060</v>
      </c>
      <c r="C304" s="145" t="s">
        <v>459</v>
      </c>
      <c r="D304" s="146">
        <v>7437.26</v>
      </c>
      <c r="E304" s="146">
        <v>11839.8</v>
      </c>
      <c r="F304" s="147">
        <f t="shared" si="4"/>
        <v>-4402.5399999999991</v>
      </c>
      <c r="G304" s="148" t="s">
        <v>119</v>
      </c>
      <c r="H304" s="149" t="s">
        <v>430</v>
      </c>
    </row>
    <row r="305" spans="2:8" customFormat="1" hidden="1" x14ac:dyDescent="0.3">
      <c r="B305" s="144">
        <v>400100070</v>
      </c>
      <c r="C305" s="145" t="s">
        <v>460</v>
      </c>
      <c r="D305" s="146">
        <v>286.12</v>
      </c>
      <c r="E305" s="146">
        <v>226.73</v>
      </c>
      <c r="F305" s="147">
        <f t="shared" si="4"/>
        <v>59.390000000000015</v>
      </c>
      <c r="G305" s="148" t="s">
        <v>119</v>
      </c>
      <c r="H305" s="149" t="s">
        <v>430</v>
      </c>
    </row>
    <row r="306" spans="2:8" customFormat="1" hidden="1" x14ac:dyDescent="0.3">
      <c r="B306" s="144">
        <v>400100075</v>
      </c>
      <c r="C306" s="145" t="s">
        <v>461</v>
      </c>
      <c r="D306" s="146">
        <v>950</v>
      </c>
      <c r="E306" s="146">
        <v>0</v>
      </c>
      <c r="F306" s="147">
        <f t="shared" si="4"/>
        <v>950</v>
      </c>
      <c r="G306" s="148" t="s">
        <v>119</v>
      </c>
      <c r="H306" s="149" t="s">
        <v>430</v>
      </c>
    </row>
    <row r="307" spans="2:8" customFormat="1" hidden="1" x14ac:dyDescent="0.3">
      <c r="B307" s="144">
        <v>400100080</v>
      </c>
      <c r="C307" s="145" t="s">
        <v>462</v>
      </c>
      <c r="D307" s="146">
        <v>33586.239999999998</v>
      </c>
      <c r="E307" s="146">
        <v>32239.4</v>
      </c>
      <c r="F307" s="147">
        <f t="shared" si="4"/>
        <v>1346.8399999999965</v>
      </c>
      <c r="G307" s="148" t="s">
        <v>119</v>
      </c>
      <c r="H307" s="149" t="s">
        <v>430</v>
      </c>
    </row>
    <row r="308" spans="2:8" customFormat="1" hidden="1" x14ac:dyDescent="0.3">
      <c r="B308" s="144">
        <v>400100110</v>
      </c>
      <c r="C308" s="145" t="s">
        <v>463</v>
      </c>
      <c r="D308" s="146">
        <v>1973.07</v>
      </c>
      <c r="E308" s="146">
        <v>3635.31</v>
      </c>
      <c r="F308" s="147">
        <f t="shared" si="4"/>
        <v>-1662.24</v>
      </c>
      <c r="G308" s="148" t="s">
        <v>119</v>
      </c>
      <c r="H308" s="149" t="s">
        <v>430</v>
      </c>
    </row>
    <row r="309" spans="2:8" customFormat="1" hidden="1" x14ac:dyDescent="0.3">
      <c r="B309" s="144">
        <v>400101010</v>
      </c>
      <c r="C309" s="145" t="s">
        <v>464</v>
      </c>
      <c r="D309" s="146">
        <v>14953.76</v>
      </c>
      <c r="E309" s="146">
        <v>13210.13</v>
      </c>
      <c r="F309" s="147">
        <f t="shared" si="4"/>
        <v>1743.630000000001</v>
      </c>
      <c r="G309" s="148" t="s">
        <v>119</v>
      </c>
      <c r="H309" s="149" t="s">
        <v>430</v>
      </c>
    </row>
    <row r="310" spans="2:8" customFormat="1" hidden="1" x14ac:dyDescent="0.3">
      <c r="B310" s="144">
        <v>400101015</v>
      </c>
      <c r="C310" s="145" t="s">
        <v>465</v>
      </c>
      <c r="D310" s="146">
        <v>5419.89</v>
      </c>
      <c r="E310" s="146">
        <v>4933.2</v>
      </c>
      <c r="F310" s="147">
        <f t="shared" si="4"/>
        <v>486.69000000000051</v>
      </c>
      <c r="G310" s="148" t="s">
        <v>119</v>
      </c>
      <c r="H310" s="149" t="s">
        <v>430</v>
      </c>
    </row>
    <row r="311" spans="2:8" customFormat="1" hidden="1" x14ac:dyDescent="0.3">
      <c r="B311" s="144">
        <v>400101035</v>
      </c>
      <c r="C311" s="145" t="s">
        <v>466</v>
      </c>
      <c r="D311" s="146">
        <v>1481752.03</v>
      </c>
      <c r="E311" s="146">
        <v>3080022.11</v>
      </c>
      <c r="F311" s="147">
        <f t="shared" si="4"/>
        <v>-1598270.0799999998</v>
      </c>
      <c r="G311" s="148" t="s">
        <v>119</v>
      </c>
      <c r="H311" s="149" t="s">
        <v>430</v>
      </c>
    </row>
    <row r="312" spans="2:8" customFormat="1" hidden="1" x14ac:dyDescent="0.3">
      <c r="B312" s="144">
        <v>400101040</v>
      </c>
      <c r="C312" s="145" t="s">
        <v>467</v>
      </c>
      <c r="D312" s="146">
        <v>6515.41</v>
      </c>
      <c r="E312" s="146">
        <v>7384.93</v>
      </c>
      <c r="F312" s="147">
        <f t="shared" si="4"/>
        <v>-869.52000000000044</v>
      </c>
      <c r="G312" s="148" t="s">
        <v>119</v>
      </c>
      <c r="H312" s="149" t="s">
        <v>430</v>
      </c>
    </row>
    <row r="313" spans="2:8" customFormat="1" hidden="1" x14ac:dyDescent="0.3">
      <c r="B313" s="144">
        <v>400101050</v>
      </c>
      <c r="C313" s="145" t="s">
        <v>468</v>
      </c>
      <c r="D313" s="146">
        <v>14488.5</v>
      </c>
      <c r="E313" s="146">
        <v>15343.97</v>
      </c>
      <c r="F313" s="147">
        <f t="shared" si="4"/>
        <v>-855.46999999999935</v>
      </c>
      <c r="G313" s="148" t="s">
        <v>119</v>
      </c>
      <c r="H313" s="149" t="s">
        <v>430</v>
      </c>
    </row>
    <row r="314" spans="2:8" customFormat="1" hidden="1" x14ac:dyDescent="0.3">
      <c r="B314" s="144">
        <v>400102100</v>
      </c>
      <c r="C314" s="145" t="s">
        <v>469</v>
      </c>
      <c r="D314" s="146">
        <v>92866.18</v>
      </c>
      <c r="E314" s="146">
        <v>106575.56</v>
      </c>
      <c r="F314" s="147">
        <f t="shared" si="4"/>
        <v>-13709.380000000005</v>
      </c>
      <c r="G314" s="148" t="s">
        <v>119</v>
      </c>
      <c r="H314" s="149" t="s">
        <v>430</v>
      </c>
    </row>
    <row r="315" spans="2:8" customFormat="1" hidden="1" x14ac:dyDescent="0.3">
      <c r="B315" s="144">
        <v>400102010</v>
      </c>
      <c r="C315" s="145" t="s">
        <v>470</v>
      </c>
      <c r="D315" s="146">
        <v>46673.760000000002</v>
      </c>
      <c r="E315" s="146">
        <v>46255.74</v>
      </c>
      <c r="F315" s="147">
        <f t="shared" si="4"/>
        <v>418.02000000000407</v>
      </c>
      <c r="G315" s="148" t="s">
        <v>119</v>
      </c>
      <c r="H315" s="149" t="s">
        <v>430</v>
      </c>
    </row>
    <row r="316" spans="2:8" customFormat="1" hidden="1" x14ac:dyDescent="0.3">
      <c r="B316" s="144">
        <v>400102020</v>
      </c>
      <c r="C316" s="145" t="s">
        <v>471</v>
      </c>
      <c r="D316" s="146">
        <v>20887.62</v>
      </c>
      <c r="E316" s="146">
        <v>32537.59</v>
      </c>
      <c r="F316" s="147">
        <f t="shared" si="4"/>
        <v>-11649.970000000001</v>
      </c>
      <c r="G316" s="148" t="s">
        <v>119</v>
      </c>
      <c r="H316" s="149" t="s">
        <v>430</v>
      </c>
    </row>
    <row r="317" spans="2:8" customFormat="1" hidden="1" x14ac:dyDescent="0.3">
      <c r="B317" s="144">
        <v>400102030</v>
      </c>
      <c r="C317" s="145" t="s">
        <v>472</v>
      </c>
      <c r="D317" s="146">
        <v>12566.33</v>
      </c>
      <c r="E317" s="146">
        <v>11565.71</v>
      </c>
      <c r="F317" s="147">
        <f t="shared" si="4"/>
        <v>1000.6200000000008</v>
      </c>
      <c r="G317" s="148" t="s">
        <v>119</v>
      </c>
      <c r="H317" s="149" t="s">
        <v>430</v>
      </c>
    </row>
    <row r="318" spans="2:8" customFormat="1" hidden="1" x14ac:dyDescent="0.3">
      <c r="B318" s="144">
        <v>400102080</v>
      </c>
      <c r="C318" s="145" t="s">
        <v>473</v>
      </c>
      <c r="D318" s="146">
        <v>6333.3</v>
      </c>
      <c r="E318" s="146">
        <v>5388.35</v>
      </c>
      <c r="F318" s="147">
        <f t="shared" si="4"/>
        <v>944.94999999999982</v>
      </c>
      <c r="G318" s="148" t="s">
        <v>119</v>
      </c>
      <c r="H318" s="149" t="s">
        <v>430</v>
      </c>
    </row>
    <row r="319" spans="2:8" customFormat="1" hidden="1" x14ac:dyDescent="0.3">
      <c r="B319" s="144">
        <v>400103010</v>
      </c>
      <c r="C319" s="145" t="s">
        <v>474</v>
      </c>
      <c r="D319" s="146">
        <v>10672.38</v>
      </c>
      <c r="E319" s="146">
        <v>11638.75</v>
      </c>
      <c r="F319" s="147">
        <f t="shared" si="4"/>
        <v>-966.3700000000008</v>
      </c>
      <c r="G319" s="148" t="s">
        <v>119</v>
      </c>
      <c r="H319" s="149" t="s">
        <v>430</v>
      </c>
    </row>
    <row r="320" spans="2:8" customFormat="1" hidden="1" x14ac:dyDescent="0.3">
      <c r="B320" s="144">
        <v>400104010</v>
      </c>
      <c r="C320" s="145" t="s">
        <v>475</v>
      </c>
      <c r="D320" s="146">
        <v>4057.42</v>
      </c>
      <c r="E320" s="146">
        <v>1646.42</v>
      </c>
      <c r="F320" s="147">
        <f t="shared" si="4"/>
        <v>2411</v>
      </c>
      <c r="G320" s="148" t="s">
        <v>119</v>
      </c>
      <c r="H320" s="149" t="s">
        <v>430</v>
      </c>
    </row>
    <row r="321" spans="2:8" customFormat="1" hidden="1" x14ac:dyDescent="0.3">
      <c r="B321" s="144">
        <v>400902092</v>
      </c>
      <c r="C321" s="145" t="s">
        <v>476</v>
      </c>
      <c r="D321" s="146">
        <v>100.23</v>
      </c>
      <c r="E321" s="146">
        <v>100.2</v>
      </c>
      <c r="F321" s="147">
        <f t="shared" si="4"/>
        <v>3.0000000000001137E-2</v>
      </c>
      <c r="G321" s="148" t="s">
        <v>119</v>
      </c>
      <c r="H321" s="149" t="s">
        <v>430</v>
      </c>
    </row>
    <row r="322" spans="2:8" customFormat="1" hidden="1" x14ac:dyDescent="0.3">
      <c r="B322" s="144">
        <v>400105010</v>
      </c>
      <c r="C322" s="145" t="s">
        <v>477</v>
      </c>
      <c r="D322" s="146">
        <v>1616941.85</v>
      </c>
      <c r="E322" s="146">
        <v>1442012.41</v>
      </c>
      <c r="F322" s="147">
        <f t="shared" si="4"/>
        <v>174929.44000000018</v>
      </c>
      <c r="G322" s="148" t="s">
        <v>119</v>
      </c>
      <c r="H322" s="149" t="s">
        <v>430</v>
      </c>
    </row>
    <row r="323" spans="2:8" customFormat="1" hidden="1" x14ac:dyDescent="0.3">
      <c r="B323" s="144">
        <v>400105011</v>
      </c>
      <c r="C323" s="145" t="s">
        <v>478</v>
      </c>
      <c r="D323" s="146">
        <v>1548431.59</v>
      </c>
      <c r="E323" s="146">
        <v>1292924.42</v>
      </c>
      <c r="F323" s="147">
        <f t="shared" si="4"/>
        <v>255507.17000000016</v>
      </c>
      <c r="G323" s="148" t="s">
        <v>119</v>
      </c>
      <c r="H323" s="149" t="s">
        <v>430</v>
      </c>
    </row>
    <row r="324" spans="2:8" customFormat="1" hidden="1" x14ac:dyDescent="0.3">
      <c r="B324" s="144">
        <v>400105012</v>
      </c>
      <c r="C324" s="145" t="s">
        <v>479</v>
      </c>
      <c r="D324" s="146">
        <v>156146.69</v>
      </c>
      <c r="E324" s="146">
        <v>100765.01</v>
      </c>
      <c r="F324" s="147">
        <f t="shared" si="4"/>
        <v>55381.680000000008</v>
      </c>
      <c r="G324" s="148" t="s">
        <v>119</v>
      </c>
      <c r="H324" s="149" t="s">
        <v>430</v>
      </c>
    </row>
    <row r="325" spans="2:8" customFormat="1" hidden="1" x14ac:dyDescent="0.3">
      <c r="B325" s="144">
        <v>400105020</v>
      </c>
      <c r="C325" s="145" t="s">
        <v>480</v>
      </c>
      <c r="D325" s="146">
        <v>51479.94</v>
      </c>
      <c r="E325" s="146">
        <v>29614.79</v>
      </c>
      <c r="F325" s="147">
        <f t="shared" si="4"/>
        <v>21865.15</v>
      </c>
      <c r="G325" s="148" t="s">
        <v>119</v>
      </c>
      <c r="H325" s="149" t="s">
        <v>430</v>
      </c>
    </row>
    <row r="326" spans="2:8" customFormat="1" hidden="1" x14ac:dyDescent="0.3">
      <c r="B326" s="144">
        <v>400105040</v>
      </c>
      <c r="C326" s="145" t="s">
        <v>481</v>
      </c>
      <c r="D326" s="146">
        <v>1003032.92</v>
      </c>
      <c r="E326" s="146">
        <v>745899.8</v>
      </c>
      <c r="F326" s="147">
        <f t="shared" si="4"/>
        <v>257133.12</v>
      </c>
      <c r="G326" s="148" t="s">
        <v>119</v>
      </c>
      <c r="H326" s="149" t="s">
        <v>430</v>
      </c>
    </row>
    <row r="327" spans="2:8" customFormat="1" hidden="1" x14ac:dyDescent="0.3">
      <c r="B327" s="144">
        <v>400105050</v>
      </c>
      <c r="C327" s="145" t="s">
        <v>482</v>
      </c>
      <c r="D327" s="146">
        <v>38680.29</v>
      </c>
      <c r="E327" s="146">
        <v>30505.59</v>
      </c>
      <c r="F327" s="147">
        <f t="shared" si="4"/>
        <v>8174.7000000000007</v>
      </c>
      <c r="G327" s="148" t="s">
        <v>119</v>
      </c>
      <c r="H327" s="149" t="s">
        <v>430</v>
      </c>
    </row>
    <row r="328" spans="2:8" customFormat="1" hidden="1" x14ac:dyDescent="0.3">
      <c r="B328" s="144">
        <v>400105060</v>
      </c>
      <c r="C328" s="145" t="s">
        <v>483</v>
      </c>
      <c r="D328" s="146">
        <v>13715.69</v>
      </c>
      <c r="E328" s="146">
        <v>10628.05</v>
      </c>
      <c r="F328" s="147">
        <f t="shared" si="4"/>
        <v>3087.6400000000012</v>
      </c>
      <c r="G328" s="148" t="s">
        <v>119</v>
      </c>
      <c r="H328" s="149" t="s">
        <v>430</v>
      </c>
    </row>
    <row r="329" spans="2:8" customFormat="1" hidden="1" x14ac:dyDescent="0.3">
      <c r="B329" s="144">
        <v>400105061</v>
      </c>
      <c r="C329" s="145" t="s">
        <v>484</v>
      </c>
      <c r="D329" s="146">
        <v>33396.76</v>
      </c>
      <c r="E329" s="146">
        <v>24351.42</v>
      </c>
      <c r="F329" s="147">
        <f t="shared" si="4"/>
        <v>9045.3400000000038</v>
      </c>
      <c r="G329" s="148" t="s">
        <v>119</v>
      </c>
      <c r="H329" s="149" t="s">
        <v>430</v>
      </c>
    </row>
    <row r="330" spans="2:8" customFormat="1" hidden="1" x14ac:dyDescent="0.3">
      <c r="B330" s="144">
        <v>400105070</v>
      </c>
      <c r="C330" s="145" t="s">
        <v>485</v>
      </c>
      <c r="D330" s="146">
        <v>13836.65</v>
      </c>
      <c r="E330" s="146">
        <v>9147.41</v>
      </c>
      <c r="F330" s="147">
        <f t="shared" si="4"/>
        <v>4689.24</v>
      </c>
      <c r="G330" s="148" t="s">
        <v>119</v>
      </c>
      <c r="H330" s="149" t="s">
        <v>430</v>
      </c>
    </row>
    <row r="331" spans="2:8" customFormat="1" hidden="1" x14ac:dyDescent="0.3">
      <c r="B331" s="144">
        <v>400105071</v>
      </c>
      <c r="C331" s="145" t="s">
        <v>486</v>
      </c>
      <c r="D331" s="146">
        <v>1688.58</v>
      </c>
      <c r="E331" s="146">
        <v>1916.75</v>
      </c>
      <c r="F331" s="147">
        <f t="shared" ref="F331:F394" si="5">D331-E331</f>
        <v>-228.17000000000007</v>
      </c>
      <c r="G331" s="148" t="s">
        <v>119</v>
      </c>
      <c r="H331" s="149" t="s">
        <v>430</v>
      </c>
    </row>
    <row r="332" spans="2:8" customFormat="1" hidden="1" x14ac:dyDescent="0.3">
      <c r="B332" s="144">
        <v>400105080</v>
      </c>
      <c r="C332" s="145" t="s">
        <v>487</v>
      </c>
      <c r="D332" s="146">
        <v>51778.48</v>
      </c>
      <c r="E332" s="146">
        <v>61258.559999999998</v>
      </c>
      <c r="F332" s="147">
        <f t="shared" si="5"/>
        <v>-9480.0799999999945</v>
      </c>
      <c r="G332" s="148" t="s">
        <v>119</v>
      </c>
      <c r="H332" s="149" t="s">
        <v>430</v>
      </c>
    </row>
    <row r="333" spans="2:8" customFormat="1" hidden="1" x14ac:dyDescent="0.3">
      <c r="B333" s="144">
        <v>400105081</v>
      </c>
      <c r="C333" s="145" t="s">
        <v>488</v>
      </c>
      <c r="D333" s="146">
        <v>5772.55</v>
      </c>
      <c r="E333" s="146">
        <v>2323.6999999999998</v>
      </c>
      <c r="F333" s="147">
        <f t="shared" si="5"/>
        <v>3448.8500000000004</v>
      </c>
      <c r="G333" s="148" t="s">
        <v>119</v>
      </c>
      <c r="H333" s="149" t="s">
        <v>430</v>
      </c>
    </row>
    <row r="334" spans="2:8" customFormat="1" hidden="1" x14ac:dyDescent="0.3">
      <c r="B334" s="144">
        <v>400105082</v>
      </c>
      <c r="C334" s="145" t="s">
        <v>489</v>
      </c>
      <c r="D334" s="146">
        <v>12983.46</v>
      </c>
      <c r="E334" s="146">
        <v>511.94</v>
      </c>
      <c r="F334" s="147">
        <f t="shared" si="5"/>
        <v>12471.519999999999</v>
      </c>
      <c r="G334" s="148" t="s">
        <v>119</v>
      </c>
      <c r="H334" s="149" t="s">
        <v>430</v>
      </c>
    </row>
    <row r="335" spans="2:8" customFormat="1" hidden="1" x14ac:dyDescent="0.3">
      <c r="B335" s="144">
        <v>400105115</v>
      </c>
      <c r="C335" s="145" t="s">
        <v>490</v>
      </c>
      <c r="D335" s="146">
        <v>65</v>
      </c>
      <c r="E335" s="146">
        <v>326.8</v>
      </c>
      <c r="F335" s="147">
        <f t="shared" si="5"/>
        <v>-261.8</v>
      </c>
      <c r="G335" s="148" t="s">
        <v>119</v>
      </c>
      <c r="H335" s="149" t="s">
        <v>430</v>
      </c>
    </row>
    <row r="336" spans="2:8" customFormat="1" hidden="1" x14ac:dyDescent="0.3">
      <c r="B336" s="144">
        <v>400107010</v>
      </c>
      <c r="C336" s="145" t="s">
        <v>491</v>
      </c>
      <c r="D336" s="146">
        <v>136482.4</v>
      </c>
      <c r="E336" s="146">
        <v>87645.98</v>
      </c>
      <c r="F336" s="147">
        <f t="shared" si="5"/>
        <v>48836.42</v>
      </c>
      <c r="G336" s="148" t="s">
        <v>119</v>
      </c>
      <c r="H336" s="149" t="s">
        <v>430</v>
      </c>
    </row>
    <row r="337" spans="2:8" customFormat="1" hidden="1" x14ac:dyDescent="0.3">
      <c r="B337" s="144">
        <v>400107020</v>
      </c>
      <c r="C337" s="145" t="s">
        <v>492</v>
      </c>
      <c r="D337" s="146">
        <v>153994.79999999999</v>
      </c>
      <c r="E337" s="146">
        <v>167869.46</v>
      </c>
      <c r="F337" s="147">
        <f t="shared" si="5"/>
        <v>-13874.660000000003</v>
      </c>
      <c r="G337" s="148" t="s">
        <v>119</v>
      </c>
      <c r="H337" s="149" t="s">
        <v>430</v>
      </c>
    </row>
    <row r="338" spans="2:8" customFormat="1" hidden="1" x14ac:dyDescent="0.3">
      <c r="B338" s="144">
        <v>400107030</v>
      </c>
      <c r="C338" s="145" t="s">
        <v>493</v>
      </c>
      <c r="D338" s="146">
        <v>1242.05</v>
      </c>
      <c r="E338" s="146">
        <v>874.26</v>
      </c>
      <c r="F338" s="147">
        <f t="shared" si="5"/>
        <v>367.78999999999996</v>
      </c>
      <c r="G338" s="148" t="s">
        <v>119</v>
      </c>
      <c r="H338" s="149" t="s">
        <v>430</v>
      </c>
    </row>
    <row r="339" spans="2:8" customFormat="1" hidden="1" x14ac:dyDescent="0.3">
      <c r="B339" s="144">
        <v>400108060</v>
      </c>
      <c r="C339" s="145" t="s">
        <v>494</v>
      </c>
      <c r="D339" s="146">
        <v>87665.99</v>
      </c>
      <c r="E339" s="146">
        <v>86591.02</v>
      </c>
      <c r="F339" s="147">
        <f t="shared" si="5"/>
        <v>1074.9700000000012</v>
      </c>
      <c r="G339" s="148" t="s">
        <v>119</v>
      </c>
      <c r="H339" s="149" t="s">
        <v>430</v>
      </c>
    </row>
    <row r="340" spans="2:8" customFormat="1" hidden="1" x14ac:dyDescent="0.3">
      <c r="B340" s="144">
        <v>400109010</v>
      </c>
      <c r="C340" s="145" t="s">
        <v>495</v>
      </c>
      <c r="D340" s="146">
        <v>49235.71</v>
      </c>
      <c r="E340" s="146">
        <v>15651.97</v>
      </c>
      <c r="F340" s="147">
        <f t="shared" si="5"/>
        <v>33583.74</v>
      </c>
      <c r="G340" s="148" t="s">
        <v>119</v>
      </c>
      <c r="H340" s="149" t="s">
        <v>430</v>
      </c>
    </row>
    <row r="341" spans="2:8" customFormat="1" hidden="1" x14ac:dyDescent="0.3">
      <c r="B341" s="144">
        <v>400109020</v>
      </c>
      <c r="C341" s="145" t="s">
        <v>496</v>
      </c>
      <c r="D341" s="146">
        <v>8400</v>
      </c>
      <c r="E341" s="146">
        <v>6000</v>
      </c>
      <c r="F341" s="147">
        <f t="shared" si="5"/>
        <v>2400</v>
      </c>
      <c r="G341" s="148" t="s">
        <v>119</v>
      </c>
      <c r="H341" s="149" t="s">
        <v>430</v>
      </c>
    </row>
    <row r="342" spans="2:8" customFormat="1" hidden="1" x14ac:dyDescent="0.3">
      <c r="B342" s="144">
        <v>400109025</v>
      </c>
      <c r="C342" s="145" t="s">
        <v>497</v>
      </c>
      <c r="D342" s="146">
        <v>13801.84</v>
      </c>
      <c r="E342" s="146">
        <v>12447.56</v>
      </c>
      <c r="F342" s="147">
        <f t="shared" si="5"/>
        <v>1354.2800000000007</v>
      </c>
      <c r="G342" s="148" t="s">
        <v>119</v>
      </c>
      <c r="H342" s="149" t="s">
        <v>430</v>
      </c>
    </row>
    <row r="343" spans="2:8" customFormat="1" hidden="1" x14ac:dyDescent="0.3">
      <c r="B343" s="144">
        <v>400109030</v>
      </c>
      <c r="C343" s="145" t="s">
        <v>498</v>
      </c>
      <c r="D343" s="146">
        <v>130679.91</v>
      </c>
      <c r="E343" s="146">
        <v>113414.2</v>
      </c>
      <c r="F343" s="147">
        <f t="shared" si="5"/>
        <v>17265.710000000006</v>
      </c>
      <c r="G343" s="148" t="s">
        <v>119</v>
      </c>
      <c r="H343" s="149" t="s">
        <v>430</v>
      </c>
    </row>
    <row r="344" spans="2:8" customFormat="1" hidden="1" x14ac:dyDescent="0.3">
      <c r="B344" s="144">
        <v>400109035</v>
      </c>
      <c r="C344" s="145" t="s">
        <v>499</v>
      </c>
      <c r="D344" s="146">
        <v>72847.429999999993</v>
      </c>
      <c r="E344" s="146">
        <v>53842.57</v>
      </c>
      <c r="F344" s="147">
        <f t="shared" si="5"/>
        <v>19004.859999999993</v>
      </c>
      <c r="G344" s="148" t="s">
        <v>119</v>
      </c>
      <c r="H344" s="149" t="s">
        <v>430</v>
      </c>
    </row>
    <row r="345" spans="2:8" customFormat="1" hidden="1" x14ac:dyDescent="0.3">
      <c r="B345" s="144">
        <v>400109037</v>
      </c>
      <c r="C345" s="145" t="s">
        <v>500</v>
      </c>
      <c r="D345" s="146">
        <v>400</v>
      </c>
      <c r="E345" s="146">
        <v>900</v>
      </c>
      <c r="F345" s="147">
        <f t="shared" si="5"/>
        <v>-500</v>
      </c>
      <c r="G345" s="148" t="s">
        <v>119</v>
      </c>
      <c r="H345" s="149" t="s">
        <v>430</v>
      </c>
    </row>
    <row r="346" spans="2:8" customFormat="1" hidden="1" x14ac:dyDescent="0.3">
      <c r="B346" s="144">
        <v>400109040</v>
      </c>
      <c r="C346" s="145" t="s">
        <v>501</v>
      </c>
      <c r="D346" s="146">
        <v>1150</v>
      </c>
      <c r="E346" s="146">
        <v>1262.03</v>
      </c>
      <c r="F346" s="147">
        <f t="shared" si="5"/>
        <v>-112.02999999999997</v>
      </c>
      <c r="G346" s="148" t="s">
        <v>119</v>
      </c>
      <c r="H346" s="149" t="s">
        <v>430</v>
      </c>
    </row>
    <row r="347" spans="2:8" customFormat="1" hidden="1" x14ac:dyDescent="0.3">
      <c r="B347" s="144">
        <v>400109055</v>
      </c>
      <c r="C347" s="145" t="s">
        <v>502</v>
      </c>
      <c r="D347" s="146">
        <v>113004.56</v>
      </c>
      <c r="E347" s="146">
        <v>117259.47</v>
      </c>
      <c r="F347" s="147">
        <f t="shared" si="5"/>
        <v>-4254.9100000000035</v>
      </c>
      <c r="G347" s="148" t="s">
        <v>119</v>
      </c>
      <c r="H347" s="149" t="s">
        <v>430</v>
      </c>
    </row>
    <row r="348" spans="2:8" customFormat="1" hidden="1" x14ac:dyDescent="0.3">
      <c r="B348" s="144">
        <v>400109065</v>
      </c>
      <c r="C348" s="145" t="s">
        <v>503</v>
      </c>
      <c r="D348" s="146">
        <v>14403.12</v>
      </c>
      <c r="E348" s="146">
        <v>17432.34</v>
      </c>
      <c r="F348" s="147">
        <f t="shared" si="5"/>
        <v>-3029.2199999999993</v>
      </c>
      <c r="G348" s="148" t="s">
        <v>119</v>
      </c>
      <c r="H348" s="149" t="s">
        <v>430</v>
      </c>
    </row>
    <row r="349" spans="2:8" customFormat="1" hidden="1" x14ac:dyDescent="0.3">
      <c r="B349" s="144">
        <v>400110010</v>
      </c>
      <c r="C349" s="145" t="s">
        <v>504</v>
      </c>
      <c r="D349" s="146">
        <v>8794.9599999999991</v>
      </c>
      <c r="E349" s="146">
        <v>7541.98</v>
      </c>
      <c r="F349" s="147">
        <f t="shared" si="5"/>
        <v>1252.9799999999996</v>
      </c>
      <c r="G349" s="148" t="s">
        <v>119</v>
      </c>
      <c r="H349" s="149" t="s">
        <v>430</v>
      </c>
    </row>
    <row r="350" spans="2:8" customFormat="1" hidden="1" x14ac:dyDescent="0.3">
      <c r="B350" s="144">
        <v>400110020</v>
      </c>
      <c r="C350" s="145" t="s">
        <v>505</v>
      </c>
      <c r="D350" s="146">
        <v>25600</v>
      </c>
      <c r="E350" s="146">
        <v>24880</v>
      </c>
      <c r="F350" s="147">
        <f t="shared" si="5"/>
        <v>720</v>
      </c>
      <c r="G350" s="148" t="s">
        <v>119</v>
      </c>
      <c r="H350" s="149" t="s">
        <v>430</v>
      </c>
    </row>
    <row r="351" spans="2:8" customFormat="1" hidden="1" x14ac:dyDescent="0.3">
      <c r="B351" s="163">
        <v>400110030</v>
      </c>
      <c r="C351" s="164" t="s">
        <v>506</v>
      </c>
      <c r="D351" s="146">
        <v>11919.8</v>
      </c>
      <c r="E351" s="146">
        <v>2895.8</v>
      </c>
      <c r="F351" s="147">
        <f t="shared" si="5"/>
        <v>9024</v>
      </c>
      <c r="G351" s="148" t="s">
        <v>119</v>
      </c>
      <c r="H351" s="123" t="s">
        <v>430</v>
      </c>
    </row>
    <row r="352" spans="2:8" customFormat="1" hidden="1" x14ac:dyDescent="0.3">
      <c r="B352" s="144">
        <v>400110040</v>
      </c>
      <c r="C352" s="145" t="s">
        <v>507</v>
      </c>
      <c r="D352" s="146">
        <v>16836.36</v>
      </c>
      <c r="E352" s="146">
        <v>28911.200000000001</v>
      </c>
      <c r="F352" s="147">
        <f t="shared" si="5"/>
        <v>-12074.84</v>
      </c>
      <c r="G352" s="148" t="s">
        <v>119</v>
      </c>
      <c r="H352" s="149" t="s">
        <v>430</v>
      </c>
    </row>
    <row r="353" spans="2:8" customFormat="1" hidden="1" x14ac:dyDescent="0.3">
      <c r="B353" s="144">
        <v>400301030</v>
      </c>
      <c r="C353" s="145" t="s">
        <v>508</v>
      </c>
      <c r="D353" s="146">
        <v>3856.23</v>
      </c>
      <c r="E353" s="146">
        <v>3473.82</v>
      </c>
      <c r="F353" s="147">
        <f t="shared" si="5"/>
        <v>382.40999999999985</v>
      </c>
      <c r="G353" s="148" t="s">
        <v>119</v>
      </c>
      <c r="H353" s="149" t="s">
        <v>430</v>
      </c>
    </row>
    <row r="354" spans="2:8" customFormat="1" hidden="1" x14ac:dyDescent="0.3">
      <c r="B354" s="144">
        <v>400304030</v>
      </c>
      <c r="C354" s="145" t="s">
        <v>509</v>
      </c>
      <c r="D354" s="146">
        <v>2780</v>
      </c>
      <c r="E354" s="146">
        <v>2530</v>
      </c>
      <c r="F354" s="147">
        <f t="shared" si="5"/>
        <v>250</v>
      </c>
      <c r="G354" s="148" t="s">
        <v>119</v>
      </c>
      <c r="H354" s="149" t="s">
        <v>430</v>
      </c>
    </row>
    <row r="355" spans="2:8" customFormat="1" hidden="1" x14ac:dyDescent="0.3">
      <c r="B355" s="144">
        <v>400900065</v>
      </c>
      <c r="C355" s="145" t="s">
        <v>510</v>
      </c>
      <c r="D355" s="146">
        <v>50</v>
      </c>
      <c r="E355" s="146">
        <v>45</v>
      </c>
      <c r="F355" s="147">
        <f t="shared" si="5"/>
        <v>5</v>
      </c>
      <c r="G355" s="148" t="s">
        <v>119</v>
      </c>
      <c r="H355" s="149" t="s">
        <v>430</v>
      </c>
    </row>
    <row r="356" spans="2:8" customFormat="1" hidden="1" x14ac:dyDescent="0.3">
      <c r="B356" s="144">
        <v>400902095</v>
      </c>
      <c r="C356" s="145" t="s">
        <v>511</v>
      </c>
      <c r="D356" s="146">
        <v>14986.44</v>
      </c>
      <c r="E356" s="146">
        <v>0</v>
      </c>
      <c r="F356" s="147">
        <f t="shared" si="5"/>
        <v>14986.44</v>
      </c>
      <c r="G356" s="148" t="s">
        <v>119</v>
      </c>
      <c r="H356" s="149" t="s">
        <v>430</v>
      </c>
    </row>
    <row r="357" spans="2:8" customFormat="1" hidden="1" x14ac:dyDescent="0.3">
      <c r="B357" s="144">
        <v>400902080</v>
      </c>
      <c r="C357" s="145" t="s">
        <v>512</v>
      </c>
      <c r="D357" s="146">
        <v>6016.69</v>
      </c>
      <c r="E357" s="146">
        <v>6296.13</v>
      </c>
      <c r="F357" s="147">
        <f t="shared" si="5"/>
        <v>-279.44000000000051</v>
      </c>
      <c r="G357" s="148" t="s">
        <v>119</v>
      </c>
      <c r="H357" s="149" t="s">
        <v>430</v>
      </c>
    </row>
    <row r="358" spans="2:8" customFormat="1" hidden="1" x14ac:dyDescent="0.3">
      <c r="B358" s="144">
        <v>400904010</v>
      </c>
      <c r="C358" s="145" t="s">
        <v>513</v>
      </c>
      <c r="D358" s="146">
        <v>270008</v>
      </c>
      <c r="E358" s="146">
        <v>421915.72</v>
      </c>
      <c r="F358" s="147">
        <f t="shared" si="5"/>
        <v>-151907.71999999997</v>
      </c>
      <c r="G358" s="148" t="s">
        <v>119</v>
      </c>
      <c r="H358" s="149" t="s">
        <v>430</v>
      </c>
    </row>
    <row r="359" spans="2:8" customFormat="1" hidden="1" x14ac:dyDescent="0.3">
      <c r="B359" s="144">
        <v>400904020</v>
      </c>
      <c r="C359" s="145" t="s">
        <v>514</v>
      </c>
      <c r="D359" s="146">
        <v>23920</v>
      </c>
      <c r="E359" s="146">
        <v>23920</v>
      </c>
      <c r="F359" s="147">
        <f t="shared" si="5"/>
        <v>0</v>
      </c>
      <c r="G359" s="148" t="s">
        <v>119</v>
      </c>
      <c r="H359" s="149" t="s">
        <v>430</v>
      </c>
    </row>
    <row r="360" spans="2:8" customFormat="1" hidden="1" x14ac:dyDescent="0.3">
      <c r="B360" s="144">
        <v>410050020</v>
      </c>
      <c r="C360" s="145" t="s">
        <v>515</v>
      </c>
      <c r="D360" s="146">
        <v>220031.44</v>
      </c>
      <c r="E360" s="146">
        <v>201938.59</v>
      </c>
      <c r="F360" s="147">
        <f t="shared" si="5"/>
        <v>18092.850000000006</v>
      </c>
      <c r="G360" s="148" t="s">
        <v>119</v>
      </c>
      <c r="H360" s="149" t="s">
        <v>430</v>
      </c>
    </row>
    <row r="361" spans="2:8" customFormat="1" hidden="1" x14ac:dyDescent="0.3">
      <c r="B361" s="144">
        <v>400100150</v>
      </c>
      <c r="C361" s="145" t="s">
        <v>516</v>
      </c>
      <c r="D361" s="146">
        <v>0</v>
      </c>
      <c r="E361" s="146">
        <v>669</v>
      </c>
      <c r="F361" s="147">
        <f t="shared" si="5"/>
        <v>-669</v>
      </c>
      <c r="G361" s="148" t="s">
        <v>119</v>
      </c>
      <c r="H361" s="149" t="s">
        <v>430</v>
      </c>
    </row>
    <row r="362" spans="2:8" customFormat="1" hidden="1" x14ac:dyDescent="0.3">
      <c r="B362" s="144">
        <v>400104011</v>
      </c>
      <c r="C362" s="145" t="s">
        <v>517</v>
      </c>
      <c r="D362" s="146">
        <v>35374.43</v>
      </c>
      <c r="E362" s="146">
        <v>30884.61</v>
      </c>
      <c r="F362" s="147">
        <f t="shared" si="5"/>
        <v>4489.82</v>
      </c>
      <c r="G362" s="148" t="s">
        <v>119</v>
      </c>
      <c r="H362" s="149" t="s">
        <v>430</v>
      </c>
    </row>
    <row r="363" spans="2:8" customFormat="1" hidden="1" x14ac:dyDescent="0.3">
      <c r="B363" s="150">
        <v>400100122</v>
      </c>
      <c r="C363" s="151" t="s">
        <v>518</v>
      </c>
      <c r="D363" s="146">
        <v>1100</v>
      </c>
      <c r="E363" s="152">
        <v>300</v>
      </c>
      <c r="F363" s="147">
        <f t="shared" si="5"/>
        <v>800</v>
      </c>
      <c r="G363" s="148" t="s">
        <v>119</v>
      </c>
      <c r="H363" s="154" t="s">
        <v>430</v>
      </c>
    </row>
    <row r="364" spans="2:8" customFormat="1" hidden="1" x14ac:dyDescent="0.3">
      <c r="B364" s="144">
        <v>400104030</v>
      </c>
      <c r="C364" s="145" t="s">
        <v>519</v>
      </c>
      <c r="D364" s="146">
        <v>40641.370000000003</v>
      </c>
      <c r="E364" s="146">
        <v>51707.199999999997</v>
      </c>
      <c r="F364" s="147">
        <f t="shared" si="5"/>
        <v>-11065.829999999994</v>
      </c>
      <c r="G364" s="148" t="s">
        <v>119</v>
      </c>
      <c r="H364" s="149" t="s">
        <v>430</v>
      </c>
    </row>
    <row r="365" spans="2:8" customFormat="1" hidden="1" x14ac:dyDescent="0.3">
      <c r="B365" s="149">
        <v>400109070</v>
      </c>
      <c r="C365" t="s">
        <v>520</v>
      </c>
      <c r="D365" s="146">
        <v>3700.51</v>
      </c>
      <c r="E365" s="146">
        <v>346.17</v>
      </c>
      <c r="F365" s="147">
        <f t="shared" si="5"/>
        <v>3354.34</v>
      </c>
      <c r="G365" s="161" t="s">
        <v>119</v>
      </c>
      <c r="H365" s="149" t="s">
        <v>430</v>
      </c>
    </row>
    <row r="366" spans="2:8" customFormat="1" hidden="1" x14ac:dyDescent="0.3">
      <c r="B366" s="144" t="s">
        <v>521</v>
      </c>
      <c r="C366" s="145" t="s">
        <v>522</v>
      </c>
      <c r="D366" s="146">
        <v>0</v>
      </c>
      <c r="E366" s="146">
        <v>6095.21</v>
      </c>
      <c r="F366" s="147">
        <f t="shared" si="5"/>
        <v>-6095.21</v>
      </c>
      <c r="G366" s="148" t="s">
        <v>119</v>
      </c>
      <c r="H366" s="149" t="s">
        <v>430</v>
      </c>
    </row>
    <row r="367" spans="2:8" customFormat="1" hidden="1" x14ac:dyDescent="0.3">
      <c r="B367" s="149">
        <v>410050080</v>
      </c>
      <c r="C367" t="s">
        <v>523</v>
      </c>
      <c r="D367" s="146">
        <v>0</v>
      </c>
      <c r="E367" s="146">
        <v>4856.45</v>
      </c>
      <c r="F367" s="147">
        <f t="shared" si="5"/>
        <v>-4856.45</v>
      </c>
      <c r="G367" s="148" t="s">
        <v>119</v>
      </c>
      <c r="H367" s="149" t="s">
        <v>430</v>
      </c>
    </row>
    <row r="368" spans="2:8" customFormat="1" hidden="1" x14ac:dyDescent="0.3">
      <c r="B368" s="149">
        <v>400105064</v>
      </c>
      <c r="C368" t="s">
        <v>524</v>
      </c>
      <c r="D368" s="146">
        <v>64878.36</v>
      </c>
      <c r="E368" s="146">
        <v>0</v>
      </c>
      <c r="F368" s="147">
        <f t="shared" si="5"/>
        <v>64878.36</v>
      </c>
      <c r="G368" s="148" t="s">
        <v>119</v>
      </c>
      <c r="H368" s="156" t="s">
        <v>430</v>
      </c>
    </row>
    <row r="369" spans="2:8" customFormat="1" hidden="1" x14ac:dyDescent="0.3">
      <c r="B369" s="144">
        <v>410070010</v>
      </c>
      <c r="C369" s="145" t="s">
        <v>522</v>
      </c>
      <c r="D369" s="146">
        <v>13817.97</v>
      </c>
      <c r="E369" s="146">
        <v>0</v>
      </c>
      <c r="F369" s="147">
        <f t="shared" si="5"/>
        <v>13817.97</v>
      </c>
      <c r="G369" s="148" t="s">
        <v>119</v>
      </c>
      <c r="H369" s="149" t="s">
        <v>430</v>
      </c>
    </row>
    <row r="370" spans="2:8" customFormat="1" hidden="1" x14ac:dyDescent="0.3">
      <c r="B370" s="144">
        <v>400201070</v>
      </c>
      <c r="C370" s="145" t="s">
        <v>525</v>
      </c>
      <c r="D370" s="146">
        <v>48099.23</v>
      </c>
      <c r="E370" s="146">
        <v>47118.87</v>
      </c>
      <c r="F370" s="147">
        <f t="shared" si="5"/>
        <v>980.36000000000058</v>
      </c>
      <c r="G370" s="148" t="s">
        <v>120</v>
      </c>
      <c r="H370" s="149" t="s">
        <v>430</v>
      </c>
    </row>
    <row r="371" spans="2:8" customFormat="1" hidden="1" x14ac:dyDescent="0.3">
      <c r="B371" s="144">
        <v>400201080</v>
      </c>
      <c r="C371" s="145" t="s">
        <v>526</v>
      </c>
      <c r="D371" s="146">
        <v>0</v>
      </c>
      <c r="E371" s="146">
        <v>67.58</v>
      </c>
      <c r="F371" s="147">
        <f t="shared" si="5"/>
        <v>-67.58</v>
      </c>
      <c r="G371" s="148" t="s">
        <v>120</v>
      </c>
      <c r="H371" s="149" t="s">
        <v>430</v>
      </c>
    </row>
    <row r="372" spans="2:8" customFormat="1" hidden="1" x14ac:dyDescent="0.3">
      <c r="B372" s="144">
        <v>400201010</v>
      </c>
      <c r="C372" s="145" t="s">
        <v>527</v>
      </c>
      <c r="D372" s="146">
        <v>8596.2900000000009</v>
      </c>
      <c r="E372" s="146">
        <v>8631.6299999999992</v>
      </c>
      <c r="F372" s="147">
        <f t="shared" si="5"/>
        <v>-35.339999999998327</v>
      </c>
      <c r="G372" s="148" t="s">
        <v>120</v>
      </c>
      <c r="H372" s="149" t="s">
        <v>430</v>
      </c>
    </row>
    <row r="373" spans="2:8" customFormat="1" hidden="1" x14ac:dyDescent="0.3">
      <c r="B373" s="144">
        <v>400201011</v>
      </c>
      <c r="C373" s="145" t="s">
        <v>528</v>
      </c>
      <c r="D373" s="146">
        <v>36633.379999999997</v>
      </c>
      <c r="E373" s="146">
        <v>33175.629999999997</v>
      </c>
      <c r="F373" s="147">
        <f t="shared" si="5"/>
        <v>3457.75</v>
      </c>
      <c r="G373" s="148" t="s">
        <v>120</v>
      </c>
      <c r="H373" s="149" t="s">
        <v>430</v>
      </c>
    </row>
    <row r="374" spans="2:8" customFormat="1" hidden="1" x14ac:dyDescent="0.3">
      <c r="B374" s="144">
        <v>400201013</v>
      </c>
      <c r="C374" s="145" t="s">
        <v>529</v>
      </c>
      <c r="D374" s="146">
        <v>31903.200000000001</v>
      </c>
      <c r="E374" s="146">
        <v>26074</v>
      </c>
      <c r="F374" s="147">
        <f t="shared" si="5"/>
        <v>5829.2000000000007</v>
      </c>
      <c r="G374" s="148" t="s">
        <v>120</v>
      </c>
      <c r="H374" s="149" t="s">
        <v>430</v>
      </c>
    </row>
    <row r="375" spans="2:8" customFormat="1" hidden="1" x14ac:dyDescent="0.3">
      <c r="B375" s="144">
        <v>400201014</v>
      </c>
      <c r="C375" s="145" t="s">
        <v>530</v>
      </c>
      <c r="D375" s="146">
        <v>3476.27</v>
      </c>
      <c r="E375" s="146">
        <v>2438.1</v>
      </c>
      <c r="F375" s="147">
        <f t="shared" si="5"/>
        <v>1038.17</v>
      </c>
      <c r="G375" s="148" t="s">
        <v>120</v>
      </c>
      <c r="H375" s="149" t="s">
        <v>430</v>
      </c>
    </row>
    <row r="376" spans="2:8" customFormat="1" hidden="1" x14ac:dyDescent="0.3">
      <c r="B376" s="144">
        <v>400201030</v>
      </c>
      <c r="C376" s="145" t="s">
        <v>531</v>
      </c>
      <c r="D376" s="146">
        <v>20281.07</v>
      </c>
      <c r="E376" s="146">
        <v>18858.099999999999</v>
      </c>
      <c r="F376" s="147">
        <f t="shared" si="5"/>
        <v>1422.9700000000012</v>
      </c>
      <c r="G376" s="148" t="s">
        <v>120</v>
      </c>
      <c r="H376" s="149" t="s">
        <v>430</v>
      </c>
    </row>
    <row r="377" spans="2:8" customFormat="1" hidden="1" x14ac:dyDescent="0.3">
      <c r="B377" s="144">
        <v>400202010</v>
      </c>
      <c r="C377" s="145" t="s">
        <v>532</v>
      </c>
      <c r="D377" s="146">
        <v>4246.53</v>
      </c>
      <c r="E377" s="146">
        <v>4200</v>
      </c>
      <c r="F377" s="147">
        <f t="shared" si="5"/>
        <v>46.529999999999745</v>
      </c>
      <c r="G377" s="148" t="s">
        <v>120</v>
      </c>
      <c r="H377" s="149" t="s">
        <v>430</v>
      </c>
    </row>
    <row r="378" spans="2:8" customFormat="1" hidden="1" x14ac:dyDescent="0.3">
      <c r="B378" s="144">
        <v>400300010</v>
      </c>
      <c r="C378" s="145" t="s">
        <v>533</v>
      </c>
      <c r="D378" s="146">
        <v>982357.47</v>
      </c>
      <c r="E378" s="146">
        <v>1072154.24</v>
      </c>
      <c r="F378" s="147">
        <f t="shared" si="5"/>
        <v>-89796.770000000019</v>
      </c>
      <c r="G378" s="148" t="s">
        <v>122</v>
      </c>
      <c r="H378" s="149" t="s">
        <v>430</v>
      </c>
    </row>
    <row r="379" spans="2:8" customFormat="1" hidden="1" x14ac:dyDescent="0.3">
      <c r="B379" s="144">
        <v>400300040</v>
      </c>
      <c r="C379" s="145" t="s">
        <v>534</v>
      </c>
      <c r="D379" s="146">
        <v>3281.57</v>
      </c>
      <c r="E379" s="146">
        <v>32504.75</v>
      </c>
      <c r="F379" s="147">
        <f t="shared" si="5"/>
        <v>-29223.18</v>
      </c>
      <c r="G379" s="148" t="s">
        <v>122</v>
      </c>
      <c r="H379" s="149" t="s">
        <v>430</v>
      </c>
    </row>
    <row r="380" spans="2:8" customFormat="1" hidden="1" x14ac:dyDescent="0.3">
      <c r="B380" s="144">
        <v>400300050</v>
      </c>
      <c r="C380" s="145" t="s">
        <v>535</v>
      </c>
      <c r="D380" s="146">
        <v>74315.520000000004</v>
      </c>
      <c r="E380" s="146">
        <v>73097.16</v>
      </c>
      <c r="F380" s="147">
        <f t="shared" si="5"/>
        <v>1218.3600000000006</v>
      </c>
      <c r="G380" s="148" t="s">
        <v>122</v>
      </c>
      <c r="H380" s="149" t="s">
        <v>430</v>
      </c>
    </row>
    <row r="381" spans="2:8" customFormat="1" hidden="1" x14ac:dyDescent="0.3">
      <c r="B381" s="144">
        <v>400300080</v>
      </c>
      <c r="C381" s="145" t="s">
        <v>536</v>
      </c>
      <c r="D381" s="146">
        <v>72645.179999999993</v>
      </c>
      <c r="E381" s="146">
        <v>72610.679999999993</v>
      </c>
      <c r="F381" s="147">
        <f t="shared" si="5"/>
        <v>34.5</v>
      </c>
      <c r="G381" s="148" t="s">
        <v>122</v>
      </c>
      <c r="H381" s="149" t="s">
        <v>430</v>
      </c>
    </row>
    <row r="382" spans="2:8" customFormat="1" hidden="1" x14ac:dyDescent="0.3">
      <c r="B382" s="144">
        <v>400301010</v>
      </c>
      <c r="C382" s="145" t="s">
        <v>537</v>
      </c>
      <c r="D382" s="146">
        <v>344341.5</v>
      </c>
      <c r="E382" s="146">
        <v>300371.52</v>
      </c>
      <c r="F382" s="147">
        <f t="shared" si="5"/>
        <v>43969.979999999981</v>
      </c>
      <c r="G382" s="148" t="s">
        <v>123</v>
      </c>
      <c r="H382" s="149" t="s">
        <v>430</v>
      </c>
    </row>
    <row r="383" spans="2:8" customFormat="1" hidden="1" x14ac:dyDescent="0.3">
      <c r="B383" s="144">
        <v>400301025</v>
      </c>
      <c r="C383" s="145" t="s">
        <v>538</v>
      </c>
      <c r="D383" s="146">
        <v>0</v>
      </c>
      <c r="E383" s="146">
        <v>400</v>
      </c>
      <c r="F383" s="147">
        <f t="shared" si="5"/>
        <v>-400</v>
      </c>
      <c r="G383" s="148" t="s">
        <v>123</v>
      </c>
      <c r="H383" s="149" t="s">
        <v>430</v>
      </c>
    </row>
    <row r="384" spans="2:8" customFormat="1" hidden="1" x14ac:dyDescent="0.3">
      <c r="B384" s="144">
        <v>400301050</v>
      </c>
      <c r="C384" s="145" t="s">
        <v>539</v>
      </c>
      <c r="D384" s="146">
        <v>22427.35</v>
      </c>
      <c r="E384" s="146">
        <v>23452.16</v>
      </c>
      <c r="F384" s="147">
        <f t="shared" si="5"/>
        <v>-1024.8100000000013</v>
      </c>
      <c r="G384" s="148" t="s">
        <v>123</v>
      </c>
      <c r="H384" s="149" t="s">
        <v>430</v>
      </c>
    </row>
    <row r="385" spans="2:8" customFormat="1" hidden="1" x14ac:dyDescent="0.3">
      <c r="B385" s="144">
        <v>400301075</v>
      </c>
      <c r="C385" s="145" t="s">
        <v>540</v>
      </c>
      <c r="D385" s="146">
        <v>22443.56</v>
      </c>
      <c r="E385" s="146">
        <v>22317.45</v>
      </c>
      <c r="F385" s="147">
        <f t="shared" si="5"/>
        <v>126.11000000000058</v>
      </c>
      <c r="G385" s="148" t="s">
        <v>123</v>
      </c>
      <c r="H385" s="149" t="s">
        <v>430</v>
      </c>
    </row>
    <row r="386" spans="2:8" customFormat="1" hidden="1" x14ac:dyDescent="0.3">
      <c r="B386" s="144">
        <v>400301090</v>
      </c>
      <c r="C386" s="145" t="s">
        <v>541</v>
      </c>
      <c r="D386" s="146">
        <v>25498.36</v>
      </c>
      <c r="E386" s="146">
        <v>24939.19</v>
      </c>
      <c r="F386" s="147">
        <f t="shared" si="5"/>
        <v>559.17000000000189</v>
      </c>
      <c r="G386" s="148" t="s">
        <v>123</v>
      </c>
      <c r="H386" s="149" t="s">
        <v>430</v>
      </c>
    </row>
    <row r="387" spans="2:8" customFormat="1" hidden="1" x14ac:dyDescent="0.3">
      <c r="B387" s="144">
        <v>400302010</v>
      </c>
      <c r="C387" s="145" t="s">
        <v>542</v>
      </c>
      <c r="D387" s="146">
        <v>85228.79</v>
      </c>
      <c r="E387" s="146">
        <v>119896.56</v>
      </c>
      <c r="F387" s="147">
        <f t="shared" si="5"/>
        <v>-34667.770000000004</v>
      </c>
      <c r="G387" s="148" t="s">
        <v>124</v>
      </c>
      <c r="H387" s="149" t="s">
        <v>430</v>
      </c>
    </row>
    <row r="388" spans="2:8" customFormat="1" hidden="1" x14ac:dyDescent="0.3">
      <c r="B388" s="144">
        <v>400302025</v>
      </c>
      <c r="C388" s="145" t="s">
        <v>543</v>
      </c>
      <c r="D388" s="146">
        <v>0</v>
      </c>
      <c r="E388" s="146">
        <v>5115.83</v>
      </c>
      <c r="F388" s="147">
        <f t="shared" si="5"/>
        <v>-5115.83</v>
      </c>
      <c r="G388" s="148" t="s">
        <v>124</v>
      </c>
      <c r="H388" s="149" t="s">
        <v>430</v>
      </c>
    </row>
    <row r="389" spans="2:8" customFormat="1" hidden="1" x14ac:dyDescent="0.3">
      <c r="B389" s="144">
        <v>400302510</v>
      </c>
      <c r="C389" s="145" t="s">
        <v>544</v>
      </c>
      <c r="D389" s="146">
        <v>5405.78</v>
      </c>
      <c r="E389" s="146">
        <v>10082.23</v>
      </c>
      <c r="F389" s="147">
        <f t="shared" si="5"/>
        <v>-4676.45</v>
      </c>
      <c r="G389" s="148" t="s">
        <v>124</v>
      </c>
      <c r="H389" s="149" t="s">
        <v>430</v>
      </c>
    </row>
    <row r="390" spans="2:8" customFormat="1" hidden="1" x14ac:dyDescent="0.3">
      <c r="B390" s="144">
        <v>400104020</v>
      </c>
      <c r="C390" s="145" t="s">
        <v>545</v>
      </c>
      <c r="D390" s="146">
        <v>275.14999999999998</v>
      </c>
      <c r="E390" s="146">
        <v>2394.2399999999998</v>
      </c>
      <c r="F390" s="147">
        <f t="shared" si="5"/>
        <v>-2119.0899999999997</v>
      </c>
      <c r="G390" s="148" t="s">
        <v>126</v>
      </c>
      <c r="H390" s="149" t="s">
        <v>430</v>
      </c>
    </row>
    <row r="391" spans="2:8" customFormat="1" hidden="1" x14ac:dyDescent="0.3">
      <c r="B391" s="144">
        <v>400403010</v>
      </c>
      <c r="C391" s="145" t="s">
        <v>546</v>
      </c>
      <c r="D391" s="146">
        <v>1989.61</v>
      </c>
      <c r="E391" s="146">
        <v>1979.61</v>
      </c>
      <c r="F391" s="147">
        <f t="shared" si="5"/>
        <v>10</v>
      </c>
      <c r="G391" s="148" t="s">
        <v>128</v>
      </c>
      <c r="H391" s="149" t="s">
        <v>430</v>
      </c>
    </row>
    <row r="392" spans="2:8" customFormat="1" hidden="1" x14ac:dyDescent="0.3">
      <c r="B392" s="144">
        <v>400405010</v>
      </c>
      <c r="C392" s="145" t="s">
        <v>547</v>
      </c>
      <c r="D392" s="146">
        <v>7584.11</v>
      </c>
      <c r="E392" s="146">
        <v>7794.7</v>
      </c>
      <c r="F392" s="147">
        <f t="shared" si="5"/>
        <v>-210.59000000000015</v>
      </c>
      <c r="G392" s="148" t="s">
        <v>128</v>
      </c>
      <c r="H392" s="149" t="s">
        <v>430</v>
      </c>
    </row>
    <row r="393" spans="2:8" customFormat="1" hidden="1" x14ac:dyDescent="0.3">
      <c r="B393" s="144">
        <v>400408010</v>
      </c>
      <c r="C393" s="145" t="s">
        <v>548</v>
      </c>
      <c r="D393" s="146">
        <v>708.45</v>
      </c>
      <c r="E393" s="146">
        <v>708.45</v>
      </c>
      <c r="F393" s="147">
        <f t="shared" si="5"/>
        <v>0</v>
      </c>
      <c r="G393" s="148" t="s">
        <v>128</v>
      </c>
      <c r="H393" s="149" t="s">
        <v>430</v>
      </c>
    </row>
    <row r="394" spans="2:8" customFormat="1" hidden="1" x14ac:dyDescent="0.3">
      <c r="B394" s="144">
        <v>400408020</v>
      </c>
      <c r="C394" s="145" t="s">
        <v>549</v>
      </c>
      <c r="D394" s="146">
        <v>21609.19</v>
      </c>
      <c r="E394" s="146">
        <v>21609.19</v>
      </c>
      <c r="F394" s="147">
        <f t="shared" si="5"/>
        <v>0</v>
      </c>
      <c r="G394" s="148" t="s">
        <v>128</v>
      </c>
      <c r="H394" s="149" t="s">
        <v>430</v>
      </c>
    </row>
    <row r="395" spans="2:8" customFormat="1" hidden="1" x14ac:dyDescent="0.3">
      <c r="B395" s="144">
        <v>400501040</v>
      </c>
      <c r="C395" s="145" t="s">
        <v>550</v>
      </c>
      <c r="D395" s="146">
        <v>9450.19</v>
      </c>
      <c r="E395" s="146">
        <v>9331.09</v>
      </c>
      <c r="F395" s="147">
        <f t="shared" ref="F395:F458" si="6">D395-E395</f>
        <v>119.10000000000036</v>
      </c>
      <c r="G395" s="148" t="s">
        <v>129</v>
      </c>
      <c r="H395" s="149" t="s">
        <v>430</v>
      </c>
    </row>
    <row r="396" spans="2:8" customFormat="1" hidden="1" x14ac:dyDescent="0.3">
      <c r="B396" s="144">
        <v>400500010</v>
      </c>
      <c r="C396" s="145" t="s">
        <v>551</v>
      </c>
      <c r="D396" s="146">
        <v>172858.89</v>
      </c>
      <c r="E396" s="146">
        <v>157625.89000000001</v>
      </c>
      <c r="F396" s="147">
        <f t="shared" si="6"/>
        <v>15233</v>
      </c>
      <c r="G396" s="148" t="s">
        <v>129</v>
      </c>
      <c r="H396" s="149" t="s">
        <v>430</v>
      </c>
    </row>
    <row r="397" spans="2:8" customFormat="1" hidden="1" x14ac:dyDescent="0.3">
      <c r="B397" s="144">
        <v>400500020</v>
      </c>
      <c r="C397" s="145" t="s">
        <v>552</v>
      </c>
      <c r="D397" s="146">
        <v>9331.86</v>
      </c>
      <c r="E397" s="146">
        <v>9248.06</v>
      </c>
      <c r="F397" s="147">
        <f t="shared" si="6"/>
        <v>83.800000000001091</v>
      </c>
      <c r="G397" s="148" t="s">
        <v>129</v>
      </c>
      <c r="H397" s="149" t="s">
        <v>430</v>
      </c>
    </row>
    <row r="398" spans="2:8" customFormat="1" hidden="1" x14ac:dyDescent="0.3">
      <c r="B398" s="144">
        <v>400501010</v>
      </c>
      <c r="C398" s="145" t="s">
        <v>553</v>
      </c>
      <c r="D398" s="146">
        <v>478371.39</v>
      </c>
      <c r="E398" s="146">
        <v>478506</v>
      </c>
      <c r="F398" s="147">
        <f t="shared" si="6"/>
        <v>-134.60999999998603</v>
      </c>
      <c r="G398" s="148" t="s">
        <v>129</v>
      </c>
      <c r="H398" s="149" t="s">
        <v>430</v>
      </c>
    </row>
    <row r="399" spans="2:8" customFormat="1" hidden="1" x14ac:dyDescent="0.3">
      <c r="B399" s="144">
        <v>400501020</v>
      </c>
      <c r="C399" s="145" t="s">
        <v>554</v>
      </c>
      <c r="D399" s="146">
        <v>84364.18</v>
      </c>
      <c r="E399" s="146">
        <v>84758.58</v>
      </c>
      <c r="F399" s="147">
        <f t="shared" si="6"/>
        <v>-394.40000000000873</v>
      </c>
      <c r="G399" s="148" t="s">
        <v>129</v>
      </c>
      <c r="H399" s="149" t="s">
        <v>430</v>
      </c>
    </row>
    <row r="400" spans="2:8" customFormat="1" hidden="1" x14ac:dyDescent="0.3">
      <c r="B400" s="144">
        <v>400501030</v>
      </c>
      <c r="C400" s="145" t="s">
        <v>555</v>
      </c>
      <c r="D400" s="146">
        <v>9159.06</v>
      </c>
      <c r="E400" s="146">
        <v>9572.2000000000007</v>
      </c>
      <c r="F400" s="147">
        <f t="shared" si="6"/>
        <v>-413.14000000000124</v>
      </c>
      <c r="G400" s="148" t="s">
        <v>129</v>
      </c>
      <c r="H400" s="149" t="s">
        <v>430</v>
      </c>
    </row>
    <row r="401" spans="1:8" customFormat="1" hidden="1" x14ac:dyDescent="0.3">
      <c r="B401" s="144">
        <v>400502010</v>
      </c>
      <c r="C401" s="145" t="s">
        <v>556</v>
      </c>
      <c r="D401" s="146">
        <v>926.58</v>
      </c>
      <c r="E401" s="146">
        <v>753.47</v>
      </c>
      <c r="F401" s="147">
        <f t="shared" si="6"/>
        <v>173.11</v>
      </c>
      <c r="G401" s="148" t="s">
        <v>129</v>
      </c>
      <c r="H401" s="149" t="s">
        <v>430</v>
      </c>
    </row>
    <row r="402" spans="1:8" customFormat="1" hidden="1" x14ac:dyDescent="0.3">
      <c r="B402" s="144">
        <v>400502020</v>
      </c>
      <c r="C402" s="145" t="s">
        <v>208</v>
      </c>
      <c r="D402" s="146">
        <v>1163.6400000000001</v>
      </c>
      <c r="E402" s="146">
        <v>1133.01</v>
      </c>
      <c r="F402" s="147">
        <f t="shared" si="6"/>
        <v>30.630000000000109</v>
      </c>
      <c r="G402" s="148" t="s">
        <v>129</v>
      </c>
      <c r="H402" s="149" t="s">
        <v>430</v>
      </c>
    </row>
    <row r="403" spans="1:8" customFormat="1" hidden="1" x14ac:dyDescent="0.3">
      <c r="B403" s="144">
        <v>400502030</v>
      </c>
      <c r="C403" s="145" t="s">
        <v>557</v>
      </c>
      <c r="D403" s="146">
        <v>19449.88</v>
      </c>
      <c r="E403" s="146">
        <v>13534.24</v>
      </c>
      <c r="F403" s="147">
        <f t="shared" si="6"/>
        <v>5915.6400000000012</v>
      </c>
      <c r="G403" s="148" t="s">
        <v>129</v>
      </c>
      <c r="H403" s="149" t="s">
        <v>430</v>
      </c>
    </row>
    <row r="404" spans="1:8" customFormat="1" hidden="1" x14ac:dyDescent="0.3">
      <c r="B404" s="144">
        <v>400503020</v>
      </c>
      <c r="C404" s="145" t="s">
        <v>558</v>
      </c>
      <c r="D404" s="146">
        <v>10080.83</v>
      </c>
      <c r="E404" s="146">
        <v>7486.57</v>
      </c>
      <c r="F404" s="147">
        <f t="shared" si="6"/>
        <v>2594.2600000000002</v>
      </c>
      <c r="G404" s="148" t="s">
        <v>129</v>
      </c>
      <c r="H404" s="149" t="s">
        <v>430</v>
      </c>
    </row>
    <row r="405" spans="1:8" hidden="1" x14ac:dyDescent="0.3">
      <c r="A405"/>
      <c r="B405" s="144">
        <v>400503030</v>
      </c>
      <c r="C405" s="145" t="s">
        <v>559</v>
      </c>
      <c r="D405" s="146">
        <v>100</v>
      </c>
      <c r="E405" s="146">
        <v>0</v>
      </c>
      <c r="F405" s="147">
        <f t="shared" si="6"/>
        <v>100</v>
      </c>
      <c r="G405" s="148" t="s">
        <v>129</v>
      </c>
      <c r="H405" s="149" t="s">
        <v>430</v>
      </c>
    </row>
    <row r="406" spans="1:8" customFormat="1" hidden="1" x14ac:dyDescent="0.3">
      <c r="B406" s="150">
        <v>400501050</v>
      </c>
      <c r="C406" s="151" t="s">
        <v>560</v>
      </c>
      <c r="D406" s="146">
        <v>11439.25</v>
      </c>
      <c r="E406" s="152">
        <v>5719.62</v>
      </c>
      <c r="F406" s="147">
        <f t="shared" si="6"/>
        <v>5719.63</v>
      </c>
      <c r="G406" s="165" t="s">
        <v>129</v>
      </c>
      <c r="H406" s="154" t="s">
        <v>430</v>
      </c>
    </row>
    <row r="407" spans="1:8" customFormat="1" hidden="1" x14ac:dyDescent="0.3">
      <c r="B407" s="149">
        <v>400501060</v>
      </c>
      <c r="C407" t="s">
        <v>561</v>
      </c>
      <c r="D407" s="146">
        <v>59290.55</v>
      </c>
      <c r="E407" s="146">
        <v>0</v>
      </c>
      <c r="F407" s="147">
        <f t="shared" si="6"/>
        <v>59290.55</v>
      </c>
      <c r="G407" s="148" t="s">
        <v>129</v>
      </c>
      <c r="H407" s="156" t="s">
        <v>430</v>
      </c>
    </row>
    <row r="408" spans="1:8" customFormat="1" hidden="1" x14ac:dyDescent="0.3">
      <c r="A408" s="2"/>
      <c r="B408" s="144">
        <v>400650020</v>
      </c>
      <c r="C408" s="145" t="s">
        <v>562</v>
      </c>
      <c r="D408" s="146">
        <v>250000</v>
      </c>
      <c r="E408" s="146">
        <v>1000000</v>
      </c>
      <c r="F408" s="147">
        <f t="shared" si="6"/>
        <v>-750000</v>
      </c>
      <c r="G408" s="148" t="s">
        <v>130</v>
      </c>
      <c r="H408" s="149" t="s">
        <v>430</v>
      </c>
    </row>
    <row r="409" spans="1:8" customFormat="1" hidden="1" x14ac:dyDescent="0.3">
      <c r="B409" s="144">
        <v>400700045</v>
      </c>
      <c r="C409" s="145" t="s">
        <v>563</v>
      </c>
      <c r="D409" s="146">
        <v>-70836.09</v>
      </c>
      <c r="E409" s="146">
        <v>-37527.339999999997</v>
      </c>
      <c r="F409" s="147">
        <f t="shared" si="6"/>
        <v>-33308.75</v>
      </c>
      <c r="G409" s="148" t="s">
        <v>131</v>
      </c>
      <c r="H409" s="149" t="s">
        <v>430</v>
      </c>
    </row>
    <row r="410" spans="1:8" customFormat="1" hidden="1" x14ac:dyDescent="0.3">
      <c r="B410" s="144">
        <v>400700010</v>
      </c>
      <c r="C410" s="145" t="s">
        <v>564</v>
      </c>
      <c r="D410" s="146">
        <v>2249973.56</v>
      </c>
      <c r="E410" s="146">
        <v>1360456.89</v>
      </c>
      <c r="F410" s="147">
        <f t="shared" si="6"/>
        <v>889516.67000000016</v>
      </c>
      <c r="G410" s="148" t="s">
        <v>131</v>
      </c>
      <c r="H410" s="149" t="s">
        <v>430</v>
      </c>
    </row>
    <row r="411" spans="1:8" customFormat="1" hidden="1" x14ac:dyDescent="0.3">
      <c r="B411" s="144">
        <v>400700015</v>
      </c>
      <c r="C411" s="145" t="s">
        <v>565</v>
      </c>
      <c r="D411" s="146">
        <v>37527.339999999997</v>
      </c>
      <c r="E411" s="146">
        <v>32002.400000000001</v>
      </c>
      <c r="F411" s="147">
        <f t="shared" si="6"/>
        <v>5524.9399999999951</v>
      </c>
      <c r="G411" s="148" t="s">
        <v>131</v>
      </c>
      <c r="H411" s="149" t="s">
        <v>430</v>
      </c>
    </row>
    <row r="412" spans="1:8" customFormat="1" hidden="1" x14ac:dyDescent="0.3">
      <c r="B412" s="144">
        <v>400700020</v>
      </c>
      <c r="C412" s="145" t="s">
        <v>566</v>
      </c>
      <c r="D412" s="146">
        <v>131854.76999999999</v>
      </c>
      <c r="E412" s="146">
        <v>66074.73</v>
      </c>
      <c r="F412" s="147">
        <f t="shared" si="6"/>
        <v>65780.039999999994</v>
      </c>
      <c r="G412" s="148" t="s">
        <v>131</v>
      </c>
      <c r="H412" s="149" t="s">
        <v>430</v>
      </c>
    </row>
    <row r="413" spans="1:8" customFormat="1" hidden="1" x14ac:dyDescent="0.3">
      <c r="B413" s="144">
        <v>400700030</v>
      </c>
      <c r="C413" s="145" t="s">
        <v>567</v>
      </c>
      <c r="D413" s="146">
        <v>-439437.13</v>
      </c>
      <c r="E413" s="146">
        <v>-2249973.56</v>
      </c>
      <c r="F413" s="147">
        <f t="shared" si="6"/>
        <v>1810536.4300000002</v>
      </c>
      <c r="G413" s="148" t="s">
        <v>131</v>
      </c>
      <c r="H413" s="149" t="s">
        <v>430</v>
      </c>
    </row>
    <row r="414" spans="1:8" customFormat="1" hidden="1" x14ac:dyDescent="0.3">
      <c r="B414" s="144">
        <v>400700040</v>
      </c>
      <c r="C414" s="145" t="s">
        <v>568</v>
      </c>
      <c r="D414" s="146">
        <v>-207650.98</v>
      </c>
      <c r="E414" s="146">
        <v>-131854.76999999999</v>
      </c>
      <c r="F414" s="147">
        <f t="shared" si="6"/>
        <v>-75796.210000000021</v>
      </c>
      <c r="G414" s="148" t="s">
        <v>131</v>
      </c>
      <c r="H414" s="149" t="s">
        <v>430</v>
      </c>
    </row>
    <row r="415" spans="1:8" customFormat="1" hidden="1" x14ac:dyDescent="0.3">
      <c r="B415" s="144">
        <v>400108030</v>
      </c>
      <c r="C415" s="145" t="s">
        <v>569</v>
      </c>
      <c r="D415" s="146">
        <v>821.84</v>
      </c>
      <c r="E415" s="146">
        <v>245.08</v>
      </c>
      <c r="F415" s="147">
        <f t="shared" si="6"/>
        <v>576.76</v>
      </c>
      <c r="G415" s="148" t="s">
        <v>134</v>
      </c>
      <c r="H415" s="149" t="s">
        <v>430</v>
      </c>
    </row>
    <row r="416" spans="1:8" customFormat="1" hidden="1" x14ac:dyDescent="0.3">
      <c r="B416" s="144">
        <v>400900090</v>
      </c>
      <c r="C416" s="145" t="s">
        <v>570</v>
      </c>
      <c r="D416" s="146">
        <v>0</v>
      </c>
      <c r="E416" s="146">
        <v>6</v>
      </c>
      <c r="F416" s="147">
        <f t="shared" si="6"/>
        <v>-6</v>
      </c>
      <c r="G416" s="148" t="s">
        <v>134</v>
      </c>
      <c r="H416" s="149" t="s">
        <v>430</v>
      </c>
    </row>
    <row r="417" spans="2:10" customFormat="1" hidden="1" x14ac:dyDescent="0.3">
      <c r="B417" s="144">
        <v>400105084</v>
      </c>
      <c r="C417" s="145" t="s">
        <v>571</v>
      </c>
      <c r="D417" s="146">
        <v>62237.02</v>
      </c>
      <c r="E417" s="146">
        <v>39156.080000000002</v>
      </c>
      <c r="F417" s="147">
        <f t="shared" si="6"/>
        <v>23080.939999999995</v>
      </c>
      <c r="G417" s="148" t="s">
        <v>134</v>
      </c>
      <c r="H417" s="149" t="s">
        <v>430</v>
      </c>
    </row>
    <row r="418" spans="2:10" customFormat="1" hidden="1" x14ac:dyDescent="0.3">
      <c r="B418" s="144">
        <v>400900015</v>
      </c>
      <c r="C418" s="145" t="s">
        <v>572</v>
      </c>
      <c r="D418" s="146">
        <v>59086</v>
      </c>
      <c r="E418" s="146">
        <v>56999</v>
      </c>
      <c r="F418" s="147">
        <f t="shared" si="6"/>
        <v>2087</v>
      </c>
      <c r="G418" s="148" t="s">
        <v>134</v>
      </c>
      <c r="H418" s="149" t="s">
        <v>430</v>
      </c>
    </row>
    <row r="419" spans="2:10" customFormat="1" hidden="1" x14ac:dyDescent="0.3">
      <c r="B419" s="144">
        <v>400900020</v>
      </c>
      <c r="C419" s="145" t="s">
        <v>573</v>
      </c>
      <c r="D419" s="146">
        <v>11126.54</v>
      </c>
      <c r="E419" s="146">
        <v>3625.04</v>
      </c>
      <c r="F419" s="147">
        <f t="shared" si="6"/>
        <v>7501.5000000000009</v>
      </c>
      <c r="G419" s="148" t="s">
        <v>134</v>
      </c>
      <c r="H419" s="149" t="s">
        <v>430</v>
      </c>
    </row>
    <row r="420" spans="2:10" customFormat="1" hidden="1" x14ac:dyDescent="0.3">
      <c r="B420" s="144">
        <v>400900040</v>
      </c>
      <c r="C420" s="145" t="s">
        <v>574</v>
      </c>
      <c r="D420" s="146">
        <v>516.46</v>
      </c>
      <c r="E420" s="146">
        <v>516.46</v>
      </c>
      <c r="F420" s="147">
        <f t="shared" si="6"/>
        <v>0</v>
      </c>
      <c r="G420" s="148" t="s">
        <v>134</v>
      </c>
      <c r="H420" s="149" t="s">
        <v>430</v>
      </c>
    </row>
    <row r="421" spans="2:10" customFormat="1" hidden="1" x14ac:dyDescent="0.3">
      <c r="B421" s="144">
        <v>400900045</v>
      </c>
      <c r="C421" s="145" t="s">
        <v>575</v>
      </c>
      <c r="D421" s="146">
        <v>1953.78</v>
      </c>
      <c r="E421" s="146">
        <v>1581</v>
      </c>
      <c r="F421" s="147">
        <f t="shared" si="6"/>
        <v>372.78</v>
      </c>
      <c r="G421" s="148" t="s">
        <v>134</v>
      </c>
      <c r="H421" s="149" t="s">
        <v>430</v>
      </c>
    </row>
    <row r="422" spans="2:10" customFormat="1" hidden="1" x14ac:dyDescent="0.3">
      <c r="B422" s="144">
        <v>400900050</v>
      </c>
      <c r="C422" s="145" t="s">
        <v>576</v>
      </c>
      <c r="D422" s="146">
        <v>2557.67</v>
      </c>
      <c r="E422" s="146">
        <v>2062.36</v>
      </c>
      <c r="F422" s="147">
        <f t="shared" si="6"/>
        <v>495.30999999999995</v>
      </c>
      <c r="G422" s="148" t="s">
        <v>134</v>
      </c>
      <c r="H422" s="149" t="s">
        <v>430</v>
      </c>
    </row>
    <row r="423" spans="2:10" customFormat="1" hidden="1" x14ac:dyDescent="0.3">
      <c r="B423" s="144">
        <v>400900051</v>
      </c>
      <c r="C423" s="145" t="s">
        <v>577</v>
      </c>
      <c r="D423" s="146">
        <v>245.93</v>
      </c>
      <c r="E423" s="146">
        <v>210.97</v>
      </c>
      <c r="F423" s="147">
        <f t="shared" si="6"/>
        <v>34.960000000000008</v>
      </c>
      <c r="G423" s="148" t="s">
        <v>134</v>
      </c>
      <c r="H423" s="149" t="s">
        <v>430</v>
      </c>
    </row>
    <row r="424" spans="2:10" customFormat="1" hidden="1" x14ac:dyDescent="0.3">
      <c r="B424" s="144">
        <v>400900060</v>
      </c>
      <c r="C424" s="145" t="s">
        <v>578</v>
      </c>
      <c r="D424" s="146">
        <v>6811.21</v>
      </c>
      <c r="E424" s="146">
        <v>4986.5200000000004</v>
      </c>
      <c r="F424" s="147">
        <f t="shared" si="6"/>
        <v>1824.6899999999996</v>
      </c>
      <c r="G424" s="148" t="s">
        <v>134</v>
      </c>
      <c r="H424" s="149" t="s">
        <v>430</v>
      </c>
    </row>
    <row r="425" spans="2:10" customFormat="1" hidden="1" x14ac:dyDescent="0.3">
      <c r="B425" s="144">
        <v>400900070</v>
      </c>
      <c r="C425" s="145" t="s">
        <v>579</v>
      </c>
      <c r="D425" s="146">
        <v>4945.22</v>
      </c>
      <c r="E425" s="146">
        <v>4240.04</v>
      </c>
      <c r="F425" s="147">
        <f t="shared" si="6"/>
        <v>705.18000000000029</v>
      </c>
      <c r="G425" s="148" t="s">
        <v>134</v>
      </c>
      <c r="H425" s="149" t="s">
        <v>430</v>
      </c>
    </row>
    <row r="426" spans="2:10" customFormat="1" hidden="1" x14ac:dyDescent="0.3">
      <c r="B426" s="144">
        <v>400901010</v>
      </c>
      <c r="C426" s="145" t="s">
        <v>580</v>
      </c>
      <c r="D426" s="146">
        <v>0</v>
      </c>
      <c r="E426" s="146">
        <v>303519.94</v>
      </c>
      <c r="F426" s="147">
        <f t="shared" si="6"/>
        <v>-303519.94</v>
      </c>
      <c r="G426" s="148" t="s">
        <v>134</v>
      </c>
      <c r="H426" s="149" t="s">
        <v>430</v>
      </c>
      <c r="J426" s="166">
        <f>E426+122000</f>
        <v>425519.94</v>
      </c>
    </row>
    <row r="427" spans="2:10" customFormat="1" hidden="1" x14ac:dyDescent="0.3">
      <c r="B427" s="144">
        <v>400901020</v>
      </c>
      <c r="C427" s="145" t="s">
        <v>581</v>
      </c>
      <c r="D427" s="146">
        <v>10.050000000000001</v>
      </c>
      <c r="E427" s="146">
        <v>7.88</v>
      </c>
      <c r="F427" s="147">
        <f t="shared" si="6"/>
        <v>2.1700000000000008</v>
      </c>
      <c r="G427" s="148" t="s">
        <v>134</v>
      </c>
      <c r="H427" s="149" t="s">
        <v>430</v>
      </c>
    </row>
    <row r="428" spans="2:10" customFormat="1" hidden="1" x14ac:dyDescent="0.3">
      <c r="B428" s="144">
        <v>400902010</v>
      </c>
      <c r="C428" s="145" t="s">
        <v>582</v>
      </c>
      <c r="D428" s="146">
        <v>19461.830000000002</v>
      </c>
      <c r="E428" s="146">
        <v>18676.37</v>
      </c>
      <c r="F428" s="147">
        <f t="shared" si="6"/>
        <v>785.46000000000276</v>
      </c>
      <c r="G428" s="148" t="s">
        <v>134</v>
      </c>
      <c r="H428" s="149" t="s">
        <v>430</v>
      </c>
    </row>
    <row r="429" spans="2:10" customFormat="1" hidden="1" x14ac:dyDescent="0.3">
      <c r="B429" s="144">
        <v>400902060</v>
      </c>
      <c r="C429" s="145" t="s">
        <v>583</v>
      </c>
      <c r="D429" s="146">
        <v>13936.57</v>
      </c>
      <c r="E429" s="146">
        <v>3598.23</v>
      </c>
      <c r="F429" s="147">
        <f t="shared" si="6"/>
        <v>10338.34</v>
      </c>
      <c r="G429" s="148" t="s">
        <v>134</v>
      </c>
      <c r="H429" s="149" t="s">
        <v>430</v>
      </c>
    </row>
    <row r="430" spans="2:10" customFormat="1" hidden="1" x14ac:dyDescent="0.3">
      <c r="B430" s="144">
        <v>400902090</v>
      </c>
      <c r="C430" s="145" t="s">
        <v>584</v>
      </c>
      <c r="D430" s="146">
        <v>1472.43</v>
      </c>
      <c r="E430" s="146">
        <v>1145.3699999999999</v>
      </c>
      <c r="F430" s="147">
        <f t="shared" si="6"/>
        <v>327.06000000000017</v>
      </c>
      <c r="G430" s="148" t="s">
        <v>134</v>
      </c>
      <c r="H430" s="149" t="s">
        <v>430</v>
      </c>
    </row>
    <row r="431" spans="2:10" customFormat="1" hidden="1" x14ac:dyDescent="0.3">
      <c r="B431" s="144">
        <v>400902091</v>
      </c>
      <c r="C431" s="145" t="s">
        <v>585</v>
      </c>
      <c r="D431" s="146">
        <v>14640.38</v>
      </c>
      <c r="E431" s="146">
        <v>10610.8</v>
      </c>
      <c r="F431" s="147">
        <f t="shared" si="6"/>
        <v>4029.58</v>
      </c>
      <c r="G431" s="148" t="s">
        <v>134</v>
      </c>
      <c r="H431" s="149" t="s">
        <v>430</v>
      </c>
    </row>
    <row r="432" spans="2:10" customFormat="1" hidden="1" x14ac:dyDescent="0.3">
      <c r="B432" s="144">
        <v>400902100</v>
      </c>
      <c r="C432" s="145" t="s">
        <v>586</v>
      </c>
      <c r="D432" s="146">
        <v>3156.35</v>
      </c>
      <c r="E432" s="146">
        <v>1161.3599999999999</v>
      </c>
      <c r="F432" s="147">
        <f t="shared" si="6"/>
        <v>1994.99</v>
      </c>
      <c r="G432" s="148" t="s">
        <v>134</v>
      </c>
      <c r="H432" s="149" t="s">
        <v>430</v>
      </c>
    </row>
    <row r="433" spans="2:8" customFormat="1" hidden="1" x14ac:dyDescent="0.3">
      <c r="B433" s="144">
        <v>400902110</v>
      </c>
      <c r="C433" s="145" t="s">
        <v>587</v>
      </c>
      <c r="D433" s="146">
        <v>10593.55</v>
      </c>
      <c r="E433" s="146">
        <v>4721.8100000000004</v>
      </c>
      <c r="F433" s="147">
        <f t="shared" si="6"/>
        <v>5871.7399999999989</v>
      </c>
      <c r="G433" s="148" t="s">
        <v>134</v>
      </c>
      <c r="H433" s="149" t="s">
        <v>430</v>
      </c>
    </row>
    <row r="434" spans="2:8" customFormat="1" hidden="1" x14ac:dyDescent="0.3">
      <c r="B434" s="144">
        <v>430104010</v>
      </c>
      <c r="C434" s="145" t="s">
        <v>588</v>
      </c>
      <c r="D434" s="146">
        <v>19598.2</v>
      </c>
      <c r="E434" s="146">
        <v>16964.52</v>
      </c>
      <c r="F434" s="147">
        <f t="shared" si="6"/>
        <v>2633.6800000000003</v>
      </c>
      <c r="G434" s="148" t="s">
        <v>134</v>
      </c>
      <c r="H434" s="149" t="s">
        <v>430</v>
      </c>
    </row>
    <row r="435" spans="2:8" customFormat="1" hidden="1" x14ac:dyDescent="0.3">
      <c r="B435" s="144">
        <v>430104060</v>
      </c>
      <c r="C435" s="145" t="s">
        <v>589</v>
      </c>
      <c r="D435" s="146">
        <v>0</v>
      </c>
      <c r="E435" s="146">
        <v>96093.759999999995</v>
      </c>
      <c r="F435" s="147">
        <f t="shared" si="6"/>
        <v>-96093.759999999995</v>
      </c>
      <c r="G435" s="148" t="s">
        <v>134</v>
      </c>
      <c r="H435" s="149" t="s">
        <v>430</v>
      </c>
    </row>
    <row r="436" spans="2:8" customFormat="1" hidden="1" x14ac:dyDescent="0.3">
      <c r="B436" s="144">
        <v>400110050</v>
      </c>
      <c r="C436" s="145" t="s">
        <v>590</v>
      </c>
      <c r="D436" s="146">
        <v>0</v>
      </c>
      <c r="E436" s="146">
        <v>35.380000000000003</v>
      </c>
      <c r="F436" s="147">
        <f t="shared" si="6"/>
        <v>-35.380000000000003</v>
      </c>
      <c r="G436" s="148" t="s">
        <v>134</v>
      </c>
      <c r="H436" s="149" t="s">
        <v>430</v>
      </c>
    </row>
    <row r="437" spans="2:8" customFormat="1" hidden="1" x14ac:dyDescent="0.3">
      <c r="B437" s="144">
        <v>400105085</v>
      </c>
      <c r="C437" s="145" t="s">
        <v>591</v>
      </c>
      <c r="D437" s="146">
        <v>2000</v>
      </c>
      <c r="E437" s="146">
        <v>2000</v>
      </c>
      <c r="F437" s="147">
        <f t="shared" si="6"/>
        <v>0</v>
      </c>
      <c r="G437" s="148" t="s">
        <v>134</v>
      </c>
      <c r="H437" s="149" t="s">
        <v>430</v>
      </c>
    </row>
    <row r="438" spans="2:8" customFormat="1" hidden="1" x14ac:dyDescent="0.3">
      <c r="B438" s="144">
        <v>510010100</v>
      </c>
      <c r="C438" s="145" t="s">
        <v>592</v>
      </c>
      <c r="D438" s="146">
        <v>-126.73</v>
      </c>
      <c r="E438" s="146">
        <v>-104.69</v>
      </c>
      <c r="F438" s="147">
        <f t="shared" si="6"/>
        <v>-22.040000000000006</v>
      </c>
      <c r="G438" s="148" t="s">
        <v>137</v>
      </c>
      <c r="H438" s="149" t="s">
        <v>389</v>
      </c>
    </row>
    <row r="439" spans="2:8" customFormat="1" hidden="1" x14ac:dyDescent="0.3">
      <c r="B439" s="123">
        <v>510440080</v>
      </c>
      <c r="C439" s="2" t="s">
        <v>593</v>
      </c>
      <c r="D439" s="146">
        <v>-96251.56</v>
      </c>
      <c r="E439" s="146">
        <v>0</v>
      </c>
      <c r="F439" s="162">
        <f t="shared" si="6"/>
        <v>-96251.56</v>
      </c>
      <c r="G439" s="155" t="s">
        <v>138</v>
      </c>
      <c r="H439" s="156" t="s">
        <v>389</v>
      </c>
    </row>
    <row r="440" spans="2:8" customFormat="1" hidden="1" x14ac:dyDescent="0.3">
      <c r="B440" s="144">
        <v>510430010</v>
      </c>
      <c r="C440" s="145" t="s">
        <v>594</v>
      </c>
      <c r="D440" s="146">
        <v>-3742.73</v>
      </c>
      <c r="E440" s="146">
        <v>-271.77999999999997</v>
      </c>
      <c r="F440" s="147">
        <f t="shared" si="6"/>
        <v>-3470.95</v>
      </c>
      <c r="G440" s="148" t="s">
        <v>138</v>
      </c>
      <c r="H440" s="149" t="s">
        <v>389</v>
      </c>
    </row>
    <row r="441" spans="2:8" customFormat="1" hidden="1" x14ac:dyDescent="0.3">
      <c r="B441" s="144">
        <v>510440010</v>
      </c>
      <c r="C441" s="145" t="s">
        <v>595</v>
      </c>
      <c r="D441" s="146">
        <v>-782.72</v>
      </c>
      <c r="E441" s="146">
        <v>-604.78</v>
      </c>
      <c r="F441" s="147">
        <f t="shared" si="6"/>
        <v>-177.94000000000005</v>
      </c>
      <c r="G441" s="148" t="s">
        <v>138</v>
      </c>
      <c r="H441" s="149" t="s">
        <v>389</v>
      </c>
    </row>
    <row r="442" spans="2:8" customFormat="1" hidden="1" x14ac:dyDescent="0.3">
      <c r="B442" s="144">
        <v>510440030</v>
      </c>
      <c r="C442" s="145" t="s">
        <v>596</v>
      </c>
      <c r="D442" s="146">
        <v>-5298.48</v>
      </c>
      <c r="E442" s="146">
        <v>-5954.45</v>
      </c>
      <c r="F442" s="147">
        <f t="shared" si="6"/>
        <v>655.97000000000025</v>
      </c>
      <c r="G442" s="148" t="s">
        <v>138</v>
      </c>
      <c r="H442" s="149" t="s">
        <v>389</v>
      </c>
    </row>
    <row r="443" spans="2:8" customFormat="1" hidden="1" x14ac:dyDescent="0.3">
      <c r="B443" s="123">
        <v>510440050</v>
      </c>
      <c r="C443" s="2" t="s">
        <v>597</v>
      </c>
      <c r="D443" s="146">
        <v>-1374.25</v>
      </c>
      <c r="E443" s="146">
        <v>0</v>
      </c>
      <c r="F443" s="162">
        <f t="shared" si="6"/>
        <v>-1374.25</v>
      </c>
      <c r="G443" s="155" t="s">
        <v>138</v>
      </c>
      <c r="H443" s="156" t="s">
        <v>389</v>
      </c>
    </row>
    <row r="444" spans="2:8" customFormat="1" hidden="1" x14ac:dyDescent="0.3">
      <c r="B444" s="149">
        <v>410050100</v>
      </c>
      <c r="C444" t="s">
        <v>598</v>
      </c>
      <c r="D444" s="146">
        <v>1048.02</v>
      </c>
      <c r="E444" s="146">
        <v>0</v>
      </c>
      <c r="F444" s="147">
        <f t="shared" si="6"/>
        <v>1048.02</v>
      </c>
      <c r="G444" s="148" t="s">
        <v>139</v>
      </c>
      <c r="H444" s="156" t="s">
        <v>430</v>
      </c>
    </row>
    <row r="445" spans="2:8" customFormat="1" hidden="1" x14ac:dyDescent="0.3">
      <c r="B445" s="144">
        <v>410030010</v>
      </c>
      <c r="C445" s="145" t="s">
        <v>599</v>
      </c>
      <c r="D445" s="146">
        <v>78.819999999999993</v>
      </c>
      <c r="E445" s="146">
        <v>242.36</v>
      </c>
      <c r="F445" s="147">
        <f t="shared" si="6"/>
        <v>-163.54000000000002</v>
      </c>
      <c r="G445" s="148" t="s">
        <v>139</v>
      </c>
      <c r="H445" s="149" t="s">
        <v>430</v>
      </c>
    </row>
    <row r="446" spans="2:8" customFormat="1" hidden="1" x14ac:dyDescent="0.3">
      <c r="B446" s="144">
        <v>410030020</v>
      </c>
      <c r="C446" s="145" t="s">
        <v>600</v>
      </c>
      <c r="D446" s="146">
        <v>29555.97</v>
      </c>
      <c r="E446" s="146">
        <v>10285.11</v>
      </c>
      <c r="F446" s="147">
        <f t="shared" si="6"/>
        <v>19270.86</v>
      </c>
      <c r="G446" s="148" t="s">
        <v>139</v>
      </c>
      <c r="H446" s="149" t="s">
        <v>430</v>
      </c>
    </row>
    <row r="447" spans="2:8" customFormat="1" hidden="1" x14ac:dyDescent="0.3">
      <c r="B447" s="144">
        <v>410030030</v>
      </c>
      <c r="C447" s="145" t="s">
        <v>601</v>
      </c>
      <c r="D447" s="146">
        <v>112219</v>
      </c>
      <c r="E447" s="146">
        <v>38033.69</v>
      </c>
      <c r="F447" s="147">
        <f t="shared" si="6"/>
        <v>74185.31</v>
      </c>
      <c r="G447" s="148" t="s">
        <v>139</v>
      </c>
      <c r="H447" s="149" t="s">
        <v>430</v>
      </c>
    </row>
    <row r="448" spans="2:8" customFormat="1" hidden="1" x14ac:dyDescent="0.3">
      <c r="B448" s="144">
        <v>410030040</v>
      </c>
      <c r="C448" s="145" t="s">
        <v>602</v>
      </c>
      <c r="D448" s="146">
        <v>103631.55</v>
      </c>
      <c r="E448" s="146">
        <v>86785.43</v>
      </c>
      <c r="F448" s="147">
        <f t="shared" si="6"/>
        <v>16846.12000000001</v>
      </c>
      <c r="G448" s="148" t="s">
        <v>139</v>
      </c>
      <c r="H448" s="149" t="s">
        <v>430</v>
      </c>
    </row>
    <row r="449" spans="2:8" customFormat="1" hidden="1" x14ac:dyDescent="0.3">
      <c r="B449" s="144">
        <v>410030050</v>
      </c>
      <c r="C449" s="145" t="s">
        <v>603</v>
      </c>
      <c r="D449" s="146">
        <v>112253.57</v>
      </c>
      <c r="E449" s="146">
        <v>58784.43</v>
      </c>
      <c r="F449" s="147">
        <f t="shared" si="6"/>
        <v>53469.140000000007</v>
      </c>
      <c r="G449" s="148" t="s">
        <v>139</v>
      </c>
      <c r="H449" s="149" t="s">
        <v>430</v>
      </c>
    </row>
    <row r="450" spans="2:8" customFormat="1" hidden="1" x14ac:dyDescent="0.3">
      <c r="B450" s="144">
        <v>410040020</v>
      </c>
      <c r="C450" s="145" t="s">
        <v>604</v>
      </c>
      <c r="D450" s="146">
        <v>158330.89000000001</v>
      </c>
      <c r="E450" s="146">
        <v>62525.31</v>
      </c>
      <c r="F450" s="147">
        <f t="shared" si="6"/>
        <v>95805.580000000016</v>
      </c>
      <c r="G450" s="148" t="s">
        <v>139</v>
      </c>
      <c r="H450" s="149" t="s">
        <v>430</v>
      </c>
    </row>
    <row r="451" spans="2:8" customFormat="1" hidden="1" x14ac:dyDescent="0.3">
      <c r="B451" s="144">
        <v>410040030</v>
      </c>
      <c r="C451" s="145" t="s">
        <v>605</v>
      </c>
      <c r="D451" s="146">
        <v>152305.66</v>
      </c>
      <c r="E451" s="146">
        <v>68291.58</v>
      </c>
      <c r="F451" s="147">
        <f t="shared" si="6"/>
        <v>84014.080000000002</v>
      </c>
      <c r="G451" s="148" t="s">
        <v>139</v>
      </c>
      <c r="H451" s="149" t="s">
        <v>430</v>
      </c>
    </row>
    <row r="452" spans="2:8" customFormat="1" hidden="1" x14ac:dyDescent="0.3">
      <c r="B452" s="144">
        <v>410040050</v>
      </c>
      <c r="C452" s="145" t="s">
        <v>606</v>
      </c>
      <c r="D452" s="146">
        <v>196701.54</v>
      </c>
      <c r="E452" s="146">
        <v>91562.73</v>
      </c>
      <c r="F452" s="147">
        <f t="shared" si="6"/>
        <v>105138.81000000001</v>
      </c>
      <c r="G452" s="148" t="s">
        <v>139</v>
      </c>
      <c r="H452" s="149" t="s">
        <v>430</v>
      </c>
    </row>
    <row r="453" spans="2:8" customFormat="1" hidden="1" x14ac:dyDescent="0.3">
      <c r="B453" s="144">
        <v>410050030</v>
      </c>
      <c r="C453" s="145" t="s">
        <v>607</v>
      </c>
      <c r="D453" s="146">
        <v>86861.52</v>
      </c>
      <c r="E453" s="146">
        <v>66269.440000000002</v>
      </c>
      <c r="F453" s="147">
        <f t="shared" si="6"/>
        <v>20592.080000000002</v>
      </c>
      <c r="G453" s="148" t="s">
        <v>139</v>
      </c>
      <c r="H453" s="149" t="s">
        <v>430</v>
      </c>
    </row>
    <row r="454" spans="2:8" customFormat="1" hidden="1" x14ac:dyDescent="0.3">
      <c r="B454" s="144">
        <v>410050040</v>
      </c>
      <c r="C454" s="145" t="s">
        <v>608</v>
      </c>
      <c r="D454" s="146">
        <v>3700.94</v>
      </c>
      <c r="E454" s="146">
        <v>120.66</v>
      </c>
      <c r="F454" s="147">
        <f t="shared" si="6"/>
        <v>3580.28</v>
      </c>
      <c r="G454" s="148" t="s">
        <v>139</v>
      </c>
      <c r="H454" s="149" t="s">
        <v>430</v>
      </c>
    </row>
    <row r="455" spans="2:8" customFormat="1" hidden="1" x14ac:dyDescent="0.3">
      <c r="B455" s="144">
        <v>410070020</v>
      </c>
      <c r="C455" s="145" t="s">
        <v>609</v>
      </c>
      <c r="D455" s="146">
        <v>0</v>
      </c>
      <c r="E455" s="146">
        <v>1804.36</v>
      </c>
      <c r="F455" s="147">
        <f t="shared" si="6"/>
        <v>-1804.36</v>
      </c>
      <c r="G455" s="148" t="s">
        <v>139</v>
      </c>
      <c r="H455" s="149" t="s">
        <v>430</v>
      </c>
    </row>
    <row r="456" spans="2:8" customFormat="1" hidden="1" x14ac:dyDescent="0.3">
      <c r="B456" s="150">
        <v>410050090</v>
      </c>
      <c r="C456" s="151" t="s">
        <v>610</v>
      </c>
      <c r="D456" s="146">
        <v>0</v>
      </c>
      <c r="E456" s="152">
        <v>500</v>
      </c>
      <c r="F456" s="147">
        <f t="shared" si="6"/>
        <v>-500</v>
      </c>
      <c r="G456" s="148" t="s">
        <v>139</v>
      </c>
      <c r="H456" s="154" t="s">
        <v>430</v>
      </c>
    </row>
    <row r="457" spans="2:8" customFormat="1" hidden="1" x14ac:dyDescent="0.3">
      <c r="B457" s="144">
        <v>410040045</v>
      </c>
      <c r="C457" s="145" t="s">
        <v>611</v>
      </c>
      <c r="D457" s="146">
        <v>114.73</v>
      </c>
      <c r="E457" s="146">
        <v>0</v>
      </c>
      <c r="F457" s="147">
        <f t="shared" si="6"/>
        <v>114.73</v>
      </c>
      <c r="G457" s="148" t="s">
        <v>139</v>
      </c>
      <c r="H457" s="149" t="s">
        <v>430</v>
      </c>
    </row>
    <row r="458" spans="2:8" customFormat="1" hidden="1" x14ac:dyDescent="0.3">
      <c r="B458" s="149">
        <v>400901015</v>
      </c>
      <c r="C458" t="s">
        <v>612</v>
      </c>
      <c r="D458" s="146">
        <v>504.29</v>
      </c>
      <c r="E458" s="146">
        <v>0</v>
      </c>
      <c r="F458" s="147">
        <f t="shared" si="6"/>
        <v>504.29</v>
      </c>
      <c r="G458" s="148" t="s">
        <v>139</v>
      </c>
      <c r="H458" s="156" t="s">
        <v>430</v>
      </c>
    </row>
    <row r="459" spans="2:8" customFormat="1" hidden="1" x14ac:dyDescent="0.3">
      <c r="B459" s="144">
        <v>510440070</v>
      </c>
      <c r="C459" s="145" t="s">
        <v>613</v>
      </c>
      <c r="D459" s="146">
        <v>0</v>
      </c>
      <c r="E459" s="146">
        <v>-13555</v>
      </c>
      <c r="F459" s="147">
        <f t="shared" ref="F459:F464" si="7">D459-E459</f>
        <v>13555</v>
      </c>
      <c r="G459" s="148" t="s">
        <v>142</v>
      </c>
      <c r="H459" s="149" t="s">
        <v>389</v>
      </c>
    </row>
    <row r="460" spans="2:8" customFormat="1" hidden="1" x14ac:dyDescent="0.3">
      <c r="B460" s="144">
        <v>420100010</v>
      </c>
      <c r="C460" s="145" t="s">
        <v>614</v>
      </c>
      <c r="D460" s="146">
        <v>0</v>
      </c>
      <c r="E460" s="146">
        <v>7</v>
      </c>
      <c r="F460" s="147">
        <f t="shared" si="7"/>
        <v>-7</v>
      </c>
      <c r="G460" s="148" t="s">
        <v>143</v>
      </c>
      <c r="H460" s="149" t="s">
        <v>430</v>
      </c>
    </row>
    <row r="461" spans="2:8" customFormat="1" hidden="1" x14ac:dyDescent="0.3">
      <c r="B461" s="144">
        <v>440001010</v>
      </c>
      <c r="C461" s="145" t="s">
        <v>615</v>
      </c>
      <c r="D461" s="146">
        <v>83689</v>
      </c>
      <c r="E461" s="146">
        <v>94710</v>
      </c>
      <c r="F461" s="147">
        <f t="shared" si="7"/>
        <v>-11021</v>
      </c>
      <c r="G461" s="148" t="s">
        <v>146</v>
      </c>
      <c r="H461" s="149" t="s">
        <v>430</v>
      </c>
    </row>
    <row r="462" spans="2:8" customFormat="1" hidden="1" x14ac:dyDescent="0.3">
      <c r="B462" s="144">
        <v>440002010</v>
      </c>
      <c r="C462" s="145" t="s">
        <v>616</v>
      </c>
      <c r="D462" s="146">
        <v>26207</v>
      </c>
      <c r="E462" s="146">
        <v>0</v>
      </c>
      <c r="F462" s="147">
        <f t="shared" si="7"/>
        <v>26207</v>
      </c>
      <c r="G462" s="148" t="s">
        <v>146</v>
      </c>
      <c r="H462" s="149" t="s">
        <v>430</v>
      </c>
    </row>
    <row r="463" spans="2:8" customFormat="1" hidden="1" x14ac:dyDescent="0.3">
      <c r="B463" s="144">
        <v>440001100</v>
      </c>
      <c r="C463" s="145" t="s">
        <v>617</v>
      </c>
      <c r="D463" s="146">
        <v>0</v>
      </c>
      <c r="E463" s="146">
        <v>-68099.81</v>
      </c>
      <c r="F463" s="147">
        <f t="shared" si="7"/>
        <v>68099.81</v>
      </c>
      <c r="G463" s="148" t="s">
        <v>147</v>
      </c>
      <c r="H463" s="149" t="s">
        <v>430</v>
      </c>
    </row>
    <row r="464" spans="2:8" customFormat="1" hidden="1" x14ac:dyDescent="0.3">
      <c r="B464" s="167">
        <v>440002100</v>
      </c>
      <c r="C464" s="168" t="s">
        <v>618</v>
      </c>
      <c r="D464" s="169">
        <v>100727.67999999999</v>
      </c>
      <c r="E464" s="169">
        <v>0</v>
      </c>
      <c r="F464" s="170">
        <f t="shared" si="7"/>
        <v>100727.67999999999</v>
      </c>
      <c r="G464" s="171" t="s">
        <v>147</v>
      </c>
      <c r="H464" s="172" t="s">
        <v>430</v>
      </c>
    </row>
    <row r="465" spans="2:8" customFormat="1" x14ac:dyDescent="0.3">
      <c r="B465" s="144"/>
      <c r="C465" s="145"/>
      <c r="D465" s="173"/>
      <c r="E465" s="173"/>
      <c r="F465" s="174"/>
      <c r="G465" s="148"/>
      <c r="H465" s="149"/>
    </row>
  </sheetData>
  <autoFilter ref="B8:H464" xr:uid="{31C5E988-0A04-4FDB-9510-D1C2C984BBED}">
    <filterColumn colId="5">
      <filters>
        <filter val="A.1. Ricavi vendite"/>
      </filters>
    </filterColumn>
  </autoFilter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DA04C-2ED3-4F6A-A6C5-1956CD9D78CE}">
  <sheetPr>
    <pageSetUpPr fitToPage="1"/>
  </sheetPr>
  <dimension ref="B2:M19"/>
  <sheetViews>
    <sheetView showGridLines="0" zoomScaleNormal="100" workbookViewId="0">
      <selection activeCell="F6" sqref="F6"/>
    </sheetView>
  </sheetViews>
  <sheetFormatPr defaultColWidth="14.6640625" defaultRowHeight="14.4" x14ac:dyDescent="0.3"/>
  <cols>
    <col min="1" max="1" width="7.5546875" style="6" customWidth="1"/>
    <col min="2" max="2" width="6.33203125" style="3" customWidth="1"/>
    <col min="3" max="3" width="1.6640625" style="6" customWidth="1"/>
    <col min="4" max="4" width="22.44140625" style="2" bestFit="1" customWidth="1"/>
    <col min="5" max="5" width="1.6640625" style="6" customWidth="1"/>
    <col min="6" max="6" width="18.21875" style="6" customWidth="1"/>
    <col min="7" max="7" width="1.6640625" style="6" customWidth="1"/>
    <col min="8" max="8" width="14.6640625" style="8" customWidth="1"/>
    <col min="9" max="9" width="14.6640625" style="10"/>
    <col min="10" max="10" width="1.6640625" style="6" customWidth="1"/>
    <col min="11" max="12" width="14.6640625" style="6"/>
    <col min="13" max="13" width="22.21875" style="6" customWidth="1"/>
    <col min="14" max="16384" width="14.6640625" style="6"/>
  </cols>
  <sheetData>
    <row r="2" spans="2:13" x14ac:dyDescent="0.3">
      <c r="B2" s="3" t="s">
        <v>21</v>
      </c>
    </row>
    <row r="3" spans="2:13" x14ac:dyDescent="0.3">
      <c r="B3" s="4" t="s">
        <v>0</v>
      </c>
    </row>
    <row r="4" spans="2:13" x14ac:dyDescent="0.3">
      <c r="B4" s="4"/>
    </row>
    <row r="5" spans="2:13" x14ac:dyDescent="0.3">
      <c r="F5" s="175" t="s">
        <v>18</v>
      </c>
      <c r="G5" s="176"/>
      <c r="H5" s="176"/>
      <c r="I5" s="176"/>
      <c r="J5" s="176"/>
      <c r="K5" s="176"/>
      <c r="L5" s="177"/>
      <c r="M5" s="29"/>
    </row>
    <row r="7" spans="2:13" ht="28.8" x14ac:dyDescent="0.3">
      <c r="D7" s="25" t="s">
        <v>5</v>
      </c>
      <c r="F7" s="22" t="s">
        <v>20</v>
      </c>
      <c r="H7" s="23" t="s">
        <v>12</v>
      </c>
      <c r="I7" s="24" t="s">
        <v>16</v>
      </c>
      <c r="K7" s="22" t="s">
        <v>17</v>
      </c>
    </row>
    <row r="8" spans="2:13" x14ac:dyDescent="0.3">
      <c r="D8" s="2" t="s">
        <v>1</v>
      </c>
      <c r="H8" s="8" t="s">
        <v>10</v>
      </c>
      <c r="I8" s="11">
        <v>0.03</v>
      </c>
      <c r="K8" s="6">
        <f>+F8*I8</f>
        <v>0</v>
      </c>
    </row>
    <row r="9" spans="2:13" x14ac:dyDescent="0.3">
      <c r="D9" s="2" t="s">
        <v>2</v>
      </c>
      <c r="H9" s="8" t="s">
        <v>11</v>
      </c>
      <c r="I9" s="11">
        <v>0.05</v>
      </c>
      <c r="K9" s="6">
        <f t="shared" ref="K9:K11" si="0">+F9*I9</f>
        <v>0</v>
      </c>
    </row>
    <row r="10" spans="2:13" x14ac:dyDescent="0.3">
      <c r="D10" s="2" t="s">
        <v>3</v>
      </c>
      <c r="H10" s="8" t="s">
        <v>10</v>
      </c>
      <c r="I10" s="30">
        <v>0.03</v>
      </c>
      <c r="K10" s="6">
        <f t="shared" si="0"/>
        <v>0</v>
      </c>
    </row>
    <row r="11" spans="2:13" x14ac:dyDescent="0.3">
      <c r="D11" s="5" t="s">
        <v>4</v>
      </c>
      <c r="F11" s="7"/>
      <c r="H11" s="9" t="s">
        <v>9</v>
      </c>
      <c r="I11" s="12">
        <v>7.0000000000000007E-2</v>
      </c>
      <c r="K11" s="7">
        <f t="shared" si="0"/>
        <v>0</v>
      </c>
    </row>
    <row r="13" spans="2:13" x14ac:dyDescent="0.3">
      <c r="D13" s="16" t="s">
        <v>6</v>
      </c>
      <c r="H13" s="6"/>
      <c r="I13" s="6"/>
      <c r="K13" s="21"/>
    </row>
    <row r="14" spans="2:13" x14ac:dyDescent="0.3">
      <c r="I14" s="11"/>
    </row>
    <row r="15" spans="2:13" x14ac:dyDescent="0.3">
      <c r="I15" s="11"/>
    </row>
    <row r="16" spans="2:13" ht="28.8" x14ac:dyDescent="0.3">
      <c r="D16" s="25" t="s">
        <v>19</v>
      </c>
      <c r="I16" s="24" t="s">
        <v>15</v>
      </c>
      <c r="K16" s="22" t="s">
        <v>17</v>
      </c>
      <c r="L16" s="22" t="s">
        <v>14</v>
      </c>
    </row>
    <row r="17" spans="4:12" x14ac:dyDescent="0.3">
      <c r="D17" s="13" t="s">
        <v>13</v>
      </c>
      <c r="I17" s="15"/>
      <c r="K17" s="14">
        <f>+K10</f>
        <v>0</v>
      </c>
      <c r="L17" s="26"/>
    </row>
    <row r="18" spans="4:12" x14ac:dyDescent="0.3">
      <c r="D18" s="2" t="s">
        <v>7</v>
      </c>
      <c r="I18" s="11">
        <v>0.8</v>
      </c>
      <c r="K18" s="6">
        <f>+K17*I18</f>
        <v>0</v>
      </c>
      <c r="L18" s="27"/>
    </row>
    <row r="19" spans="4:12" x14ac:dyDescent="0.3">
      <c r="D19" s="5" t="s">
        <v>8</v>
      </c>
      <c r="I19" s="12">
        <v>0.05</v>
      </c>
      <c r="K19" s="7">
        <f>+K17*I19</f>
        <v>0</v>
      </c>
      <c r="L19" s="28"/>
    </row>
  </sheetData>
  <mergeCells count="1">
    <mergeCell ref="F5:L5"/>
  </mergeCells>
  <pageMargins left="0.7" right="0.7" top="0.75" bottom="0.75" header="0.3" footer="0.3"/>
  <pageSetup paperSize="9" scale="50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6C13C-2043-45D6-B376-58CAA6F6E03D}">
  <sheetPr>
    <pageSetUpPr fitToPage="1"/>
  </sheetPr>
  <dimension ref="B1:P29"/>
  <sheetViews>
    <sheetView showGridLines="0" tabSelected="1" zoomScaleNormal="100" workbookViewId="0">
      <selection activeCell="N13" sqref="N13"/>
    </sheetView>
  </sheetViews>
  <sheetFormatPr defaultColWidth="14.6640625" defaultRowHeight="14.4" x14ac:dyDescent="0.3"/>
  <cols>
    <col min="1" max="1" width="7.5546875" style="6" customWidth="1"/>
    <col min="2" max="2" width="6.33203125" style="3" customWidth="1"/>
    <col min="3" max="3" width="1.6640625" style="6" customWidth="1"/>
    <col min="4" max="4" width="22.44140625" style="2" bestFit="1" customWidth="1"/>
    <col min="5" max="5" width="1.6640625" style="6" customWidth="1"/>
    <col min="6" max="6" width="17.77734375" style="6" customWidth="1"/>
    <col min="7" max="7" width="1.6640625" style="6" customWidth="1"/>
    <col min="8" max="8" width="14.6640625" style="8" customWidth="1"/>
    <col min="9" max="9" width="14.6640625" style="10"/>
    <col min="10" max="10" width="1.6640625" style="6" customWidth="1"/>
    <col min="11" max="12" width="14.6640625" style="6"/>
    <col min="13" max="13" width="22.21875" style="6" customWidth="1"/>
    <col min="14" max="16384" width="14.6640625" style="6"/>
  </cols>
  <sheetData>
    <row r="1" spans="2:13" x14ac:dyDescent="0.3">
      <c r="B1" s="1"/>
    </row>
    <row r="2" spans="2:13" x14ac:dyDescent="0.3">
      <c r="B2" s="3" t="s">
        <v>21</v>
      </c>
    </row>
    <row r="3" spans="2:13" x14ac:dyDescent="0.3">
      <c r="B3" s="4" t="s">
        <v>0</v>
      </c>
    </row>
    <row r="4" spans="2:13" x14ac:dyDescent="0.3">
      <c r="B4" s="4"/>
    </row>
    <row r="5" spans="2:13" x14ac:dyDescent="0.3">
      <c r="F5" s="175" t="s">
        <v>18</v>
      </c>
      <c r="G5" s="176"/>
      <c r="H5" s="176"/>
      <c r="I5" s="176"/>
      <c r="J5" s="176"/>
      <c r="K5" s="176"/>
      <c r="L5" s="177"/>
      <c r="M5" s="29"/>
    </row>
    <row r="7" spans="2:13" ht="28.8" x14ac:dyDescent="0.3">
      <c r="D7" s="25" t="s">
        <v>5</v>
      </c>
      <c r="F7" s="22" t="s">
        <v>20</v>
      </c>
      <c r="H7" s="23" t="s">
        <v>12</v>
      </c>
      <c r="I7" s="24" t="s">
        <v>16</v>
      </c>
      <c r="K7" s="22" t="s">
        <v>17</v>
      </c>
    </row>
    <row r="8" spans="2:13" x14ac:dyDescent="0.3">
      <c r="D8" s="2" t="s">
        <v>1</v>
      </c>
      <c r="F8" s="6">
        <v>38807610.339999996</v>
      </c>
      <c r="H8" s="8" t="s">
        <v>10</v>
      </c>
      <c r="I8" s="11">
        <v>0.03</v>
      </c>
      <c r="K8" s="6">
        <f>+F8*I8</f>
        <v>1164228.3101999999</v>
      </c>
    </row>
    <row r="9" spans="2:13" x14ac:dyDescent="0.3">
      <c r="D9" s="2" t="s">
        <v>2</v>
      </c>
      <c r="F9" s="6">
        <v>9527349.5700000487</v>
      </c>
      <c r="H9" s="8" t="s">
        <v>11</v>
      </c>
      <c r="I9" s="11">
        <v>0.05</v>
      </c>
      <c r="K9" s="6">
        <f t="shared" ref="K9:K11" si="0">+F9*I9</f>
        <v>476367.47850000247</v>
      </c>
    </row>
    <row r="10" spans="2:13" x14ac:dyDescent="0.3">
      <c r="D10" s="17" t="s">
        <v>3</v>
      </c>
      <c r="F10" s="18">
        <v>37800000</v>
      </c>
      <c r="H10" s="19" t="s">
        <v>10</v>
      </c>
      <c r="I10" s="20">
        <v>0.03</v>
      </c>
      <c r="K10" s="18">
        <f t="shared" si="0"/>
        <v>1134000</v>
      </c>
    </row>
    <row r="11" spans="2:13" x14ac:dyDescent="0.3">
      <c r="D11" s="5" t="s">
        <v>4</v>
      </c>
      <c r="F11" s="7">
        <v>793402.69000002113</v>
      </c>
      <c r="H11" s="9" t="s">
        <v>9</v>
      </c>
      <c r="I11" s="12">
        <v>7.0000000000000007E-2</v>
      </c>
      <c r="K11" s="7">
        <f t="shared" si="0"/>
        <v>55538.188300001486</v>
      </c>
    </row>
    <row r="13" spans="2:13" x14ac:dyDescent="0.3">
      <c r="D13" s="16" t="s">
        <v>6</v>
      </c>
      <c r="H13" s="6"/>
      <c r="I13" s="6"/>
      <c r="K13" s="21" t="s">
        <v>3</v>
      </c>
    </row>
    <row r="14" spans="2:13" x14ac:dyDescent="0.3">
      <c r="I14" s="11"/>
    </row>
    <row r="15" spans="2:13" x14ac:dyDescent="0.3">
      <c r="I15" s="11"/>
    </row>
    <row r="16" spans="2:13" ht="28.8" x14ac:dyDescent="0.3">
      <c r="D16" s="25" t="s">
        <v>19</v>
      </c>
      <c r="I16" s="24" t="s">
        <v>15</v>
      </c>
      <c r="K16" s="22" t="s">
        <v>17</v>
      </c>
      <c r="L16" s="22" t="s">
        <v>14</v>
      </c>
    </row>
    <row r="17" spans="4:16" x14ac:dyDescent="0.3">
      <c r="D17" s="13" t="s">
        <v>13</v>
      </c>
      <c r="I17" s="15"/>
      <c r="K17" s="14">
        <f>+K10</f>
        <v>1134000</v>
      </c>
      <c r="L17" s="26">
        <v>1100000</v>
      </c>
    </row>
    <row r="18" spans="4:16" x14ac:dyDescent="0.3">
      <c r="D18" s="2" t="s">
        <v>7</v>
      </c>
      <c r="I18" s="11">
        <v>0.8</v>
      </c>
      <c r="K18" s="6">
        <f>+K17*I18</f>
        <v>907200</v>
      </c>
      <c r="L18" s="27">
        <v>900000</v>
      </c>
      <c r="O18" s="31"/>
    </row>
    <row r="19" spans="4:16" x14ac:dyDescent="0.3">
      <c r="D19" s="5" t="s">
        <v>8</v>
      </c>
      <c r="I19" s="12">
        <v>0.1</v>
      </c>
      <c r="K19" s="7">
        <f>+K17*I19</f>
        <v>113400</v>
      </c>
      <c r="L19" s="28">
        <v>110000</v>
      </c>
    </row>
    <row r="27" spans="4:16" x14ac:dyDescent="0.3">
      <c r="N27" s="32"/>
      <c r="P27" s="8"/>
    </row>
    <row r="28" spans="4:16" x14ac:dyDescent="0.3">
      <c r="L28" s="33"/>
    </row>
    <row r="29" spans="4:16" x14ac:dyDescent="0.3">
      <c r="L29" s="33"/>
    </row>
  </sheetData>
  <mergeCells count="1">
    <mergeCell ref="F5:L5"/>
  </mergeCells>
  <pageMargins left="0.7" right="0.7" top="0.75" bottom="0.75" header="0.3" footer="0.3"/>
  <pageSetup paperSize="9" scale="50"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79b8654-2c1b-42da-8250-2d1334d8bbc2" xsi:nil="true"/>
    <lcf76f155ced4ddcb4097134ff3c332f xmlns="9c85b0c1-9b71-4685-82de-4db4d866366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4EF9B5DF985142B5374D344E482221" ma:contentTypeVersion="17" ma:contentTypeDescription="Creare un nuovo documento." ma:contentTypeScope="" ma:versionID="6cb22e7ba08b2b45800b739971e72138">
  <xsd:schema xmlns:xsd="http://www.w3.org/2001/XMLSchema" xmlns:xs="http://www.w3.org/2001/XMLSchema" xmlns:p="http://schemas.microsoft.com/office/2006/metadata/properties" xmlns:ns2="9c85b0c1-9b71-4685-82de-4db4d8663669" xmlns:ns3="479b8654-2c1b-42da-8250-2d1334d8bbc2" targetNamespace="http://schemas.microsoft.com/office/2006/metadata/properties" ma:root="true" ma:fieldsID="a90c4005ed7c0b9e63094a4e73351a98" ns2:_="" ns3:_="">
    <xsd:import namespace="9c85b0c1-9b71-4685-82de-4db4d8663669"/>
    <xsd:import namespace="479b8654-2c1b-42da-8250-2d1334d8bb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85b0c1-9b71-4685-82de-4db4d86636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adc68a8d-4432-44cb-ab86-84832fb400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9b8654-2c1b-42da-8250-2d1334d8bbc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da00384-e96e-492e-8da5-a088568e88f4}" ma:internalName="TaxCatchAll" ma:showField="CatchAllData" ma:web="479b8654-2c1b-42da-8250-2d1334d8bb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BACA89-232A-4707-9A76-43A2F4F93DED}">
  <ds:schemaRefs>
    <ds:schemaRef ds:uri="http://schemas.microsoft.com/office/2006/metadata/properties"/>
    <ds:schemaRef ds:uri="http://schemas.microsoft.com/office/infopath/2007/PartnerControls"/>
    <ds:schemaRef ds:uri="479b8654-2c1b-42da-8250-2d1334d8bbc2"/>
    <ds:schemaRef ds:uri="9c85b0c1-9b71-4685-82de-4db4d8663669"/>
    <ds:schemaRef ds:uri="a4cb3a0e-53f8-40c8-acc0-6fa7ad37d9cb"/>
    <ds:schemaRef ds:uri="f140e7f4-4cc3-4436-8766-9f685913884a"/>
  </ds:schemaRefs>
</ds:datastoreItem>
</file>

<file path=customXml/itemProps2.xml><?xml version="1.0" encoding="utf-8"?>
<ds:datastoreItem xmlns:ds="http://schemas.openxmlformats.org/officeDocument/2006/customXml" ds:itemID="{95BB084E-B997-4340-9BEB-EBA5BE3562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85b0c1-9b71-4685-82de-4db4d8663669"/>
    <ds:schemaRef ds:uri="479b8654-2c1b-42da-8250-2d1334d8bb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3CE27E-8FF7-41CB-8A17-C2F54A192A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Attività aziendale</vt:lpstr>
      <vt:lpstr>Stato patrimoniale</vt:lpstr>
      <vt:lpstr>Conto economico</vt:lpstr>
      <vt:lpstr>Leadsheet 31.12</vt:lpstr>
      <vt:lpstr>Materialità_vuoto</vt:lpstr>
      <vt:lpstr>Materialità_compilato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Bertuzzi</dc:creator>
  <cp:lastModifiedBy>Laura Maini</cp:lastModifiedBy>
  <cp:lastPrinted>2023-10-25T16:08:25Z</cp:lastPrinted>
  <dcterms:created xsi:type="dcterms:W3CDTF">2015-06-05T18:19:34Z</dcterms:created>
  <dcterms:modified xsi:type="dcterms:W3CDTF">2025-06-09T16:51:43Z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0x01010081B0690BEEE936499EFD19428AA5E16C</vt:lpwstr>
  </property>
  <property fmtid="{D5CDD505-2E9C-101B-9397-08002B2CF9AE}" pid="3" name="MediaServiceImageTags">
    <vt:lpwstr/>
  </property>
</Properties>
</file>